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yed.aown\Desktop\"/>
    </mc:Choice>
  </mc:AlternateContent>
  <bookViews>
    <workbookView xWindow="0" yWindow="0" windowWidth="23040" windowHeight="8925" activeTab="6"/>
  </bookViews>
  <sheets>
    <sheet name="SAL" sheetId="1" r:id="rId1"/>
    <sheet name="IS" sheetId="9" r:id="rId2"/>
    <sheet name="SOCI" sheetId="10" r:id="rId3"/>
    <sheet name="UHF" sheetId="11" r:id="rId4"/>
    <sheet name="CF" sheetId="12" r:id="rId5"/>
    <sheet name="Notes (1st page)" sheetId="13" r:id="rId6"/>
    <sheet name="Notes (remaining)" sheetId="14" r:id="rId7"/>
    <sheet name="RP (2)" sheetId="24" state="hidden" r:id="rId8"/>
    <sheet name="PAYOUT" sheetId="25" state="hidden" r:id="rId9"/>
    <sheet name="Dividend" sheetId="26" state="hidden" r:id="rId10"/>
    <sheet name="5.1 (2)" sheetId="23" state="hidden" r:id="rId11"/>
    <sheet name="UHF Working" sheetId="22" state="hidden" r:id="rId12"/>
    <sheet name="TB" sheetId="17" state="hidden" r:id="rId13"/>
    <sheet name="Sheet2" sheetId="21" state="hidden" r:id="rId14"/>
    <sheet name="I-R" sheetId="18" state="hidden" r:id="rId15"/>
    <sheet name="Work" sheetId="19" state="hidden" r:id="rId16"/>
    <sheet name="Sheet3" sheetId="20" state="hidden" r:id="rId17"/>
    <sheet name="5.1" sheetId="15" state="hidden" r:id="rId18"/>
    <sheet name="Sheet1" sheetId="16" state="hidden" r:id="rId19"/>
  </sheets>
  <externalReferences>
    <externalReference r:id="rId20"/>
    <externalReference r:id="rId21"/>
    <externalReference r:id="rId22"/>
    <externalReference r:id="rId23"/>
    <externalReference r:id="rId24"/>
  </externalReferences>
  <definedNames>
    <definedName name="_xlnm._FilterDatabase" localSheetId="9" hidden="1">Dividend!$A$2:$G$336</definedName>
    <definedName name="_xlnm._FilterDatabase" localSheetId="12" hidden="1">TB!$A$4:$N$129</definedName>
    <definedName name="_xlnm._FilterDatabase" localSheetId="11" hidden="1">'UHF Working'!$B$2:$D$29</definedName>
    <definedName name="_xlnm.Print_Area" localSheetId="4">CF!$A$1:$H$57</definedName>
    <definedName name="_xlnm.Print_Area" localSheetId="1">IS!$A$1:$K$85</definedName>
    <definedName name="_xlnm.Print_Area" localSheetId="5">'Notes (1st page)'!$A$1:$K$75</definedName>
    <definedName name="_xlnm.Print_Area" localSheetId="6">'Notes (remaining)'!$A$1:$K$633</definedName>
    <definedName name="_xlnm.Print_Area" localSheetId="7">'RP (2)'!$A$1:$M$36</definedName>
    <definedName name="_xlnm.Print_Area" localSheetId="0">SAL!$A$1:$H$47</definedName>
    <definedName name="_xlnm.Print_Area" localSheetId="13">Sheet2!$A$34:$I$46</definedName>
    <definedName name="_xlnm.Print_Area" localSheetId="2">SOCI!$A$1:$K$34</definedName>
    <definedName name="_xlnm.Print_Area" localSheetId="3">UHF!$A$1:$K$93</definedName>
    <definedName name="_xlnm.Print_Area">[1]Sheet4!$A$421:$Q$523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2" i="24" l="1"/>
  <c r="M30" i="24"/>
  <c r="M25" i="24"/>
  <c r="M23" i="24"/>
  <c r="M21" i="24"/>
  <c r="M19" i="24"/>
  <c r="M18" i="24"/>
  <c r="I30" i="24"/>
  <c r="F27" i="12" l="1"/>
  <c r="J32" i="24" l="1"/>
  <c r="O18" i="24" l="1"/>
  <c r="L19" i="24"/>
  <c r="L18" i="24"/>
  <c r="J25" i="24"/>
  <c r="J23" i="24"/>
  <c r="J21" i="24"/>
  <c r="J19" i="24"/>
  <c r="J18" i="24"/>
  <c r="E529" i="14" l="1"/>
  <c r="F43" i="11" l="1"/>
  <c r="K530" i="14"/>
  <c r="I530" i="14"/>
  <c r="G530" i="14"/>
  <c r="P371" i="14"/>
  <c r="P372" i="14" s="1"/>
  <c r="O371" i="14"/>
  <c r="F20" i="12"/>
  <c r="M21" i="11"/>
  <c r="E68" i="9"/>
  <c r="E15" i="9" l="1"/>
  <c r="I529" i="14" l="1"/>
  <c r="H29" i="25"/>
  <c r="H28" i="25"/>
  <c r="W23" i="25" l="1"/>
  <c r="W24" i="25" s="1"/>
  <c r="W25" i="25" s="1"/>
  <c r="W26" i="25" s="1"/>
  <c r="W27" i="25" s="1"/>
  <c r="W28" i="25" s="1"/>
  <c r="W29" i="25" s="1"/>
  <c r="W30" i="25" s="1"/>
  <c r="W31" i="25" s="1"/>
  <c r="W32" i="25" s="1"/>
  <c r="W33" i="25" s="1"/>
  <c r="W34" i="25" s="1"/>
  <c r="W35" i="25" s="1"/>
  <c r="W36" i="25" s="1"/>
  <c r="W37" i="25" s="1"/>
  <c r="W38" i="25" s="1"/>
  <c r="E45" i="9"/>
  <c r="E20" i="9"/>
  <c r="D43" i="11" l="1"/>
  <c r="K529" i="14"/>
  <c r="I528" i="14"/>
  <c r="K528" i="14" s="1"/>
  <c r="D149" i="25"/>
  <c r="D150" i="25" s="1"/>
  <c r="X74" i="25"/>
  <c r="T76" i="25" s="1"/>
  <c r="U74" i="25"/>
  <c r="E528" i="14"/>
  <c r="T72" i="25"/>
  <c r="U70" i="25"/>
  <c r="R70" i="25"/>
  <c r="O70" i="25"/>
  <c r="G28" i="23" l="1"/>
  <c r="G29" i="23"/>
  <c r="G11" i="23"/>
  <c r="G12" i="23"/>
  <c r="G13" i="23"/>
  <c r="G14" i="23"/>
  <c r="G15" i="23"/>
  <c r="G16" i="23"/>
  <c r="I6" i="10"/>
  <c r="L335" i="14"/>
  <c r="K290" i="14"/>
  <c r="R70" i="9" l="1"/>
  <c r="J60" i="11" l="1"/>
  <c r="J31" i="11"/>
  <c r="K24" i="11"/>
  <c r="K23" i="11"/>
  <c r="W22" i="25" l="1"/>
  <c r="W21" i="25"/>
  <c r="W20" i="25"/>
  <c r="T22" i="25"/>
  <c r="T23" i="25"/>
  <c r="T24" i="25"/>
  <c r="T25" i="25"/>
  <c r="T26" i="25" s="1"/>
  <c r="T27" i="25" s="1"/>
  <c r="T28" i="25" s="1"/>
  <c r="T29" i="25" s="1"/>
  <c r="T30" i="25" s="1"/>
  <c r="T31" i="25" s="1"/>
  <c r="T32" i="25" s="1"/>
  <c r="T33" i="25" s="1"/>
  <c r="T34" i="25" s="1"/>
  <c r="T35" i="25" s="1"/>
  <c r="T36" i="25" s="1"/>
  <c r="T37" i="25" s="1"/>
  <c r="T38" i="25" s="1"/>
  <c r="T39" i="25" s="1"/>
  <c r="T40" i="25" s="1"/>
  <c r="T41" i="25" s="1"/>
  <c r="T42" i="25" s="1"/>
  <c r="T43" i="25" s="1"/>
  <c r="T44" i="25" s="1"/>
  <c r="T45" i="25" s="1"/>
  <c r="T46" i="25" s="1"/>
  <c r="T47" i="25" s="1"/>
  <c r="T48" i="25" s="1"/>
  <c r="T49" i="25" s="1"/>
  <c r="T50" i="25" s="1"/>
  <c r="T51" i="25" s="1"/>
  <c r="T52" i="25" s="1"/>
  <c r="T53" i="25" s="1"/>
  <c r="T54" i="25" s="1"/>
  <c r="T55" i="25" s="1"/>
  <c r="T56" i="25" s="1"/>
  <c r="T57" i="25" s="1"/>
  <c r="T58" i="25" s="1"/>
  <c r="T59" i="25" s="1"/>
  <c r="T60" i="25" s="1"/>
  <c r="T61" i="25" s="1"/>
  <c r="T62" i="25" s="1"/>
  <c r="T63" i="25" s="1"/>
  <c r="T64" i="25" s="1"/>
  <c r="T66" i="25" s="1"/>
  <c r="T67" i="25" s="1"/>
  <c r="T68" i="25" s="1"/>
  <c r="T69" i="25" s="1"/>
  <c r="T21" i="25"/>
  <c r="T20" i="25"/>
  <c r="Q46" i="25"/>
  <c r="Q47" i="25" s="1"/>
  <c r="Q48" i="25" s="1"/>
  <c r="Q49" i="25" s="1"/>
  <c r="Q50" i="25" s="1"/>
  <c r="Q51" i="25" s="1"/>
  <c r="Q52" i="25" s="1"/>
  <c r="Q53" i="25" s="1"/>
  <c r="Q54" i="25" s="1"/>
  <c r="Q55" i="25" s="1"/>
  <c r="Q56" i="25" s="1"/>
  <c r="Q57" i="25" s="1"/>
  <c r="Q58" i="25" s="1"/>
  <c r="Q59" i="25" s="1"/>
  <c r="Q60" i="25" s="1"/>
  <c r="Q61" i="25" s="1"/>
  <c r="Q62" i="25" s="1"/>
  <c r="Q63" i="25" s="1"/>
  <c r="Q64" i="25" s="1"/>
  <c r="Q65" i="25" s="1"/>
  <c r="Q66" i="25" s="1"/>
  <c r="Q67" i="25" s="1"/>
  <c r="Q68" i="25" s="1"/>
  <c r="Q69" i="25" s="1"/>
  <c r="Q45" i="25"/>
  <c r="L71" i="25"/>
  <c r="N21" i="25"/>
  <c r="N22" i="25" s="1"/>
  <c r="N23" i="25" s="1"/>
  <c r="N24" i="25" s="1"/>
  <c r="N25" i="25" s="1"/>
  <c r="N26" i="25" s="1"/>
  <c r="N27" i="25" s="1"/>
  <c r="N28" i="25" s="1"/>
  <c r="N29" i="25" s="1"/>
  <c r="N30" i="25" s="1"/>
  <c r="N31" i="25" s="1"/>
  <c r="N32" i="25" s="1"/>
  <c r="N33" i="25" s="1"/>
  <c r="N34" i="25" s="1"/>
  <c r="N35" i="25" s="1"/>
  <c r="N36" i="25" s="1"/>
  <c r="N37" i="25" s="1"/>
  <c r="N38" i="25" s="1"/>
  <c r="N39" i="25" s="1"/>
  <c r="N40" i="25" s="1"/>
  <c r="N41" i="25" s="1"/>
  <c r="N42" i="25" s="1"/>
  <c r="N43" i="25" s="1"/>
  <c r="N44" i="25" s="1"/>
  <c r="I527" i="14"/>
  <c r="G527" i="14"/>
  <c r="I526" i="14"/>
  <c r="G526" i="14"/>
  <c r="K527" i="14" l="1"/>
  <c r="K526" i="14"/>
  <c r="G51" i="24"/>
  <c r="M46" i="24"/>
  <c r="I46" i="24"/>
  <c r="G46" i="24"/>
  <c r="J44" i="24"/>
  <c r="G44" i="24"/>
  <c r="G18" i="24"/>
  <c r="N18" i="24"/>
  <c r="G19" i="24"/>
  <c r="G21" i="24"/>
  <c r="G23" i="24"/>
  <c r="G25" i="24"/>
  <c r="G27" i="24"/>
  <c r="G30" i="24"/>
  <c r="G32" i="24"/>
  <c r="I32" i="24"/>
  <c r="I269" i="14"/>
  <c r="I270" i="14" s="1"/>
  <c r="K270" i="14"/>
  <c r="G22" i="23"/>
  <c r="G18" i="23"/>
  <c r="G10" i="23"/>
  <c r="G17" i="23"/>
  <c r="J43" i="23"/>
  <c r="G19" i="23"/>
  <c r="G20" i="23"/>
  <c r="G21" i="23"/>
  <c r="G23" i="23"/>
  <c r="L23" i="23"/>
  <c r="G27" i="23"/>
  <c r="G30" i="23"/>
  <c r="G31" i="23"/>
  <c r="G32" i="23"/>
  <c r="G33" i="23"/>
  <c r="G34" i="23"/>
  <c r="G35" i="23"/>
  <c r="G37" i="23"/>
  <c r="G38" i="23"/>
  <c r="G39" i="23"/>
  <c r="G40" i="23"/>
  <c r="G41" i="23"/>
  <c r="H43" i="23"/>
  <c r="I43" i="23"/>
  <c r="C5" i="22" l="1"/>
  <c r="F30" i="11" l="1"/>
  <c r="G43" i="11"/>
  <c r="K48" i="11" l="1"/>
  <c r="K49" i="11"/>
  <c r="K47" i="11"/>
  <c r="D12" i="22" l="1"/>
  <c r="M43" i="9" l="1"/>
  <c r="K122" i="17"/>
  <c r="L122" i="17"/>
  <c r="K123" i="17"/>
  <c r="L123" i="17"/>
  <c r="K124" i="17"/>
  <c r="L124" i="17"/>
  <c r="M124" i="17" s="1"/>
  <c r="K125" i="17"/>
  <c r="M125" i="17" s="1"/>
  <c r="I416" i="14" s="1"/>
  <c r="L125" i="17"/>
  <c r="K126" i="17"/>
  <c r="L126" i="17"/>
  <c r="F122" i="17"/>
  <c r="G122" i="17"/>
  <c r="F123" i="17"/>
  <c r="G123" i="17"/>
  <c r="F124" i="17"/>
  <c r="G124" i="17"/>
  <c r="F125" i="17"/>
  <c r="G125" i="17"/>
  <c r="F126" i="17"/>
  <c r="G126" i="17"/>
  <c r="E18" i="9"/>
  <c r="I18" i="9" s="1"/>
  <c r="L94" i="17"/>
  <c r="M94" i="17" s="1"/>
  <c r="K94" i="17"/>
  <c r="K93" i="17"/>
  <c r="K92" i="17"/>
  <c r="K91" i="17"/>
  <c r="F94" i="17"/>
  <c r="G94" i="17"/>
  <c r="L77" i="17"/>
  <c r="K77" i="17"/>
  <c r="L76" i="17"/>
  <c r="K76" i="17"/>
  <c r="L75" i="17"/>
  <c r="K75" i="17"/>
  <c r="G77" i="17"/>
  <c r="F77" i="17"/>
  <c r="G76" i="17"/>
  <c r="F76" i="17"/>
  <c r="G75" i="17"/>
  <c r="F75" i="17"/>
  <c r="L37" i="17"/>
  <c r="K37" i="17"/>
  <c r="M37" i="17" s="1"/>
  <c r="L36" i="17"/>
  <c r="K36" i="17"/>
  <c r="L31" i="17"/>
  <c r="K31" i="17"/>
  <c r="M31" i="17" s="1"/>
  <c r="L30" i="17"/>
  <c r="K30" i="17"/>
  <c r="M30" i="17" s="1"/>
  <c r="L29" i="17"/>
  <c r="K29" i="17"/>
  <c r="M29" i="17" s="1"/>
  <c r="G31" i="17"/>
  <c r="F31" i="17"/>
  <c r="G30" i="17"/>
  <c r="F30" i="17"/>
  <c r="G29" i="17"/>
  <c r="F29" i="17"/>
  <c r="L18" i="17"/>
  <c r="K18" i="17"/>
  <c r="M18" i="17" s="1"/>
  <c r="L17" i="17"/>
  <c r="K17" i="17"/>
  <c r="M17" i="17" s="1"/>
  <c r="L16" i="17"/>
  <c r="K16" i="17"/>
  <c r="G18" i="17"/>
  <c r="F18" i="17"/>
  <c r="G17" i="17"/>
  <c r="F17" i="17"/>
  <c r="G16" i="17"/>
  <c r="F16" i="17"/>
  <c r="M123" i="17" l="1"/>
  <c r="M126" i="17"/>
  <c r="M122" i="17"/>
  <c r="M75" i="17"/>
  <c r="M76" i="17"/>
  <c r="M77" i="17"/>
  <c r="M36" i="17"/>
  <c r="M16" i="17"/>
  <c r="K30" i="11"/>
  <c r="K29" i="11"/>
  <c r="A3" i="10"/>
  <c r="O78" i="9" l="1"/>
  <c r="O74" i="9"/>
  <c r="M79" i="9"/>
  <c r="M78" i="9"/>
  <c r="R65" i="9" s="1"/>
  <c r="M80" i="9" l="1"/>
  <c r="N64" i="9"/>
  <c r="L67" i="9" l="1"/>
  <c r="A593" i="14" l="1"/>
  <c r="N332" i="14"/>
  <c r="N336" i="14" s="1"/>
  <c r="M332" i="14"/>
  <c r="M336" i="14" s="1"/>
  <c r="N335" i="14"/>
  <c r="N331" i="14"/>
  <c r="N337" i="14" l="1"/>
  <c r="N333" i="14"/>
  <c r="L54" i="11" l="1"/>
  <c r="Q43" i="9" l="1"/>
  <c r="M303" i="14" l="1"/>
  <c r="M302" i="14"/>
  <c r="M383" i="14" l="1"/>
  <c r="O68" i="9" l="1"/>
  <c r="A296" i="14" l="1"/>
  <c r="A25" i="12" l="1"/>
  <c r="C12" i="22"/>
  <c r="K51" i="11"/>
  <c r="J51" i="11"/>
  <c r="I51" i="11"/>
  <c r="F51" i="11"/>
  <c r="O38" i="9"/>
  <c r="L63" i="17"/>
  <c r="L64" i="17"/>
  <c r="K17" i="1"/>
  <c r="F37" i="12" l="1"/>
  <c r="P75" i="9"/>
  <c r="O76" i="9" s="1"/>
  <c r="R64" i="9" s="1"/>
  <c r="L71" i="9"/>
  <c r="G39" i="15" l="1"/>
  <c r="G38" i="15"/>
  <c r="G37" i="15"/>
  <c r="G36" i="15"/>
  <c r="G35" i="15"/>
  <c r="G34" i="15"/>
  <c r="G33" i="15"/>
  <c r="G29" i="15"/>
  <c r="G28" i="15"/>
  <c r="G27" i="15"/>
  <c r="G23" i="15"/>
  <c r="G22" i="15"/>
  <c r="G21" i="15"/>
  <c r="G20" i="15"/>
  <c r="G19" i="15"/>
  <c r="G18" i="15"/>
  <c r="G17" i="15"/>
  <c r="G16" i="15"/>
  <c r="G15" i="15"/>
  <c r="G14" i="15"/>
  <c r="G13" i="15"/>
  <c r="G12" i="15"/>
  <c r="G11" i="15"/>
  <c r="G10" i="15"/>
  <c r="K20" i="9" l="1"/>
  <c r="G20" i="9" l="1"/>
  <c r="N13" i="11" l="1"/>
  <c r="C29" i="22"/>
  <c r="H17" i="12" l="1"/>
  <c r="H22" i="12"/>
  <c r="H28" i="12"/>
  <c r="H38" i="12"/>
  <c r="J76" i="11"/>
  <c r="J67" i="11"/>
  <c r="J71" i="11" s="1"/>
  <c r="K31" i="11"/>
  <c r="I31" i="11"/>
  <c r="K25" i="11"/>
  <c r="I25" i="11"/>
  <c r="M45" i="9"/>
  <c r="M20" i="9"/>
  <c r="M47" i="9" l="1"/>
  <c r="M51" i="9" s="1"/>
  <c r="H30" i="12"/>
  <c r="H40" i="12" s="1"/>
  <c r="H43" i="12" s="1"/>
  <c r="L93" i="17"/>
  <c r="M93" i="17" s="1"/>
  <c r="L92" i="17"/>
  <c r="M92" i="17" s="1"/>
  <c r="L91" i="17"/>
  <c r="M91" i="17" s="1"/>
  <c r="L90" i="17"/>
  <c r="L89" i="17"/>
  <c r="L88" i="17"/>
  <c r="I415" i="14" s="1"/>
  <c r="L87" i="17"/>
  <c r="L86" i="17"/>
  <c r="L85" i="17"/>
  <c r="L84" i="17"/>
  <c r="G45" i="9"/>
  <c r="F45" i="9"/>
  <c r="L74" i="17"/>
  <c r="M382" i="14" l="1"/>
  <c r="A5" i="14" l="1"/>
  <c r="A9" i="14" s="1"/>
  <c r="K37" i="14"/>
  <c r="A39" i="14"/>
  <c r="G36" i="14" s="1"/>
  <c r="N41" i="14"/>
  <c r="I52" i="14"/>
  <c r="M52" i="14"/>
  <c r="A218" i="14"/>
  <c r="G52" i="14" s="1"/>
  <c r="D17" i="9" s="1"/>
  <c r="I277" i="14"/>
  <c r="I278" i="14"/>
  <c r="I279" i="14"/>
  <c r="K280" i="14"/>
  <c r="A308" i="14"/>
  <c r="K306" i="14"/>
  <c r="N306" i="14"/>
  <c r="M314" i="14"/>
  <c r="K349" i="14"/>
  <c r="K350" i="14"/>
  <c r="K351" i="14"/>
  <c r="I352" i="14"/>
  <c r="I355" i="14" s="1"/>
  <c r="M379" i="14"/>
  <c r="A625" i="14"/>
  <c r="A626" i="14"/>
  <c r="A631" i="14"/>
  <c r="A632" i="14"/>
  <c r="A41" i="14" l="1"/>
  <c r="G37" i="14" s="1"/>
  <c r="K352" i="14"/>
  <c r="K355" i="14" s="1"/>
  <c r="I280" i="14"/>
  <c r="A331" i="14"/>
  <c r="G298" i="14"/>
  <c r="G300" i="14" l="1"/>
  <c r="A340" i="14"/>
  <c r="A357" i="14" s="1"/>
  <c r="A370" i="14" l="1"/>
  <c r="A375" i="14" s="1"/>
  <c r="A382" i="14" s="1"/>
  <c r="A405" i="14" s="1"/>
  <c r="A429" i="14" s="1"/>
  <c r="A451" i="14" s="1"/>
  <c r="A495" i="14" s="1"/>
  <c r="K53" i="11" l="1"/>
  <c r="J53" i="11"/>
  <c r="I53" i="11"/>
  <c r="J24" i="1" l="1"/>
  <c r="M28" i="11" l="1"/>
  <c r="D29" i="22"/>
  <c r="N28" i="11" s="1"/>
  <c r="N21" i="11" l="1"/>
  <c r="N12" i="11" s="1"/>
  <c r="O12" i="11" s="1"/>
  <c r="I80" i="17"/>
  <c r="M95" i="17"/>
  <c r="M82" i="17"/>
  <c r="G22" i="17" l="1"/>
  <c r="F22" i="17"/>
  <c r="G121" i="17"/>
  <c r="G120" i="17"/>
  <c r="G119" i="17"/>
  <c r="G118" i="17"/>
  <c r="G117" i="17"/>
  <c r="G116" i="17"/>
  <c r="G115" i="17"/>
  <c r="G114" i="17"/>
  <c r="G113" i="17"/>
  <c r="G112" i="17"/>
  <c r="G111" i="17"/>
  <c r="G110" i="17"/>
  <c r="G109" i="17"/>
  <c r="G108" i="17"/>
  <c r="G107" i="17"/>
  <c r="G106" i="17"/>
  <c r="G105" i="17"/>
  <c r="G104" i="17"/>
  <c r="G99" i="17"/>
  <c r="G98" i="17"/>
  <c r="G96" i="17"/>
  <c r="G93" i="17"/>
  <c r="G92" i="17"/>
  <c r="G91" i="17"/>
  <c r="G90" i="17"/>
  <c r="G89" i="17"/>
  <c r="G88" i="17"/>
  <c r="G87" i="17"/>
  <c r="G86" i="17"/>
  <c r="G85" i="17"/>
  <c r="G84" i="17"/>
  <c r="G83" i="17"/>
  <c r="G81" i="17"/>
  <c r="G80" i="17"/>
  <c r="G74" i="17"/>
  <c r="G73" i="17"/>
  <c r="G72" i="17"/>
  <c r="G71" i="17"/>
  <c r="G70" i="17"/>
  <c r="G69" i="17"/>
  <c r="G68" i="17"/>
  <c r="G67" i="17"/>
  <c r="G66" i="17"/>
  <c r="G65" i="17"/>
  <c r="G64" i="17"/>
  <c r="G63" i="17"/>
  <c r="G62" i="17"/>
  <c r="G61" i="17"/>
  <c r="G60" i="17"/>
  <c r="G59" i="17"/>
  <c r="G53" i="17"/>
  <c r="G52" i="17"/>
  <c r="G51" i="17"/>
  <c r="G48" i="17"/>
  <c r="G47" i="17"/>
  <c r="G46" i="17"/>
  <c r="G45" i="17"/>
  <c r="G40" i="17"/>
  <c r="G39" i="17"/>
  <c r="G38" i="17"/>
  <c r="G35" i="17"/>
  <c r="G33" i="17"/>
  <c r="G32" i="17"/>
  <c r="G28" i="17"/>
  <c r="G27" i="17"/>
  <c r="G25" i="17"/>
  <c r="G24" i="17"/>
  <c r="G15" i="17"/>
  <c r="G14" i="17"/>
  <c r="G13" i="17"/>
  <c r="G12" i="17"/>
  <c r="G11" i="17"/>
  <c r="G10" i="17"/>
  <c r="G9" i="17"/>
  <c r="G8" i="17"/>
  <c r="G7" i="17"/>
  <c r="F121" i="17"/>
  <c r="F120" i="17"/>
  <c r="F119" i="17"/>
  <c r="F118" i="17"/>
  <c r="F117" i="17"/>
  <c r="F116" i="17"/>
  <c r="F115" i="17"/>
  <c r="F114" i="17"/>
  <c r="F113" i="17"/>
  <c r="F112" i="17"/>
  <c r="F111" i="17"/>
  <c r="F110" i="17"/>
  <c r="F109" i="17"/>
  <c r="F108" i="17"/>
  <c r="F107" i="17"/>
  <c r="F106" i="17"/>
  <c r="F105" i="17"/>
  <c r="F104" i="17"/>
  <c r="F99" i="17"/>
  <c r="F98" i="17"/>
  <c r="F96" i="17"/>
  <c r="F93" i="17"/>
  <c r="F92" i="17"/>
  <c r="F91" i="17"/>
  <c r="F90" i="17"/>
  <c r="F89" i="17"/>
  <c r="F88" i="17"/>
  <c r="F87" i="17"/>
  <c r="F86" i="17"/>
  <c r="F85" i="17"/>
  <c r="F84" i="17"/>
  <c r="F83" i="17"/>
  <c r="F81" i="17"/>
  <c r="F80" i="17"/>
  <c r="F74" i="17"/>
  <c r="F73" i="17"/>
  <c r="F72" i="17"/>
  <c r="F71" i="17"/>
  <c r="F70" i="17"/>
  <c r="F69" i="17"/>
  <c r="F68" i="17"/>
  <c r="F67" i="17"/>
  <c r="F66" i="17"/>
  <c r="F65" i="17"/>
  <c r="F64" i="17"/>
  <c r="F63" i="17"/>
  <c r="F62" i="17"/>
  <c r="F61" i="17"/>
  <c r="F60" i="17"/>
  <c r="F59" i="17"/>
  <c r="F53" i="17"/>
  <c r="F52" i="17"/>
  <c r="F51" i="17"/>
  <c r="F48" i="17"/>
  <c r="F47" i="17"/>
  <c r="F46" i="17"/>
  <c r="F45" i="17"/>
  <c r="F40" i="17"/>
  <c r="F39" i="17"/>
  <c r="F38" i="17"/>
  <c r="F35" i="17"/>
  <c r="F33" i="17"/>
  <c r="F32" i="17"/>
  <c r="F28" i="17"/>
  <c r="F27" i="17"/>
  <c r="F25" i="17"/>
  <c r="F24" i="17"/>
  <c r="F15" i="17"/>
  <c r="F14" i="17"/>
  <c r="F13" i="17"/>
  <c r="F12" i="17"/>
  <c r="F11" i="17"/>
  <c r="F10" i="17"/>
  <c r="F9" i="17"/>
  <c r="F8" i="17"/>
  <c r="F7" i="17"/>
  <c r="G70" i="9"/>
  <c r="K45" i="9"/>
  <c r="K47" i="9" s="1"/>
  <c r="K51" i="9" s="1"/>
  <c r="K60" i="9" l="1"/>
  <c r="I408" i="14"/>
  <c r="G50" i="17"/>
  <c r="L50" i="17"/>
  <c r="F49" i="17"/>
  <c r="K49" i="17"/>
  <c r="F50" i="17"/>
  <c r="K50" i="17"/>
  <c r="G49" i="17"/>
  <c r="L49" i="17"/>
  <c r="G47" i="9"/>
  <c r="G51" i="9" s="1"/>
  <c r="G60" i="9" s="1"/>
  <c r="L121" i="17"/>
  <c r="K121" i="17"/>
  <c r="G65" i="9" l="1"/>
  <c r="M121" i="17"/>
  <c r="M50" i="17"/>
  <c r="K20" i="10" l="1"/>
  <c r="G20" i="10"/>
  <c r="K106" i="17" l="1"/>
  <c r="D11" i="18" l="1"/>
  <c r="I300" i="14"/>
  <c r="L67" i="17"/>
  <c r="M335" i="14" l="1"/>
  <c r="M337" i="14" s="1"/>
  <c r="L334" i="14"/>
  <c r="L336" i="14" s="1"/>
  <c r="L96" i="17"/>
  <c r="D13" i="18"/>
  <c r="I26" i="19" l="1"/>
  <c r="D27" i="19"/>
  <c r="C27" i="19"/>
  <c r="E26" i="19"/>
  <c r="E25" i="19"/>
  <c r="E27" i="19" l="1"/>
  <c r="I19" i="19"/>
  <c r="H19" i="19"/>
  <c r="E19" i="19"/>
  <c r="H17" i="19"/>
  <c r="H16" i="19"/>
  <c r="I20" i="19" l="1"/>
  <c r="E8" i="19"/>
  <c r="E10" i="19" s="1"/>
  <c r="D7" i="19" l="1"/>
  <c r="O119" i="17" l="1"/>
  <c r="J41" i="15" l="1"/>
  <c r="I25" i="19" l="1"/>
  <c r="I27" i="19" s="1"/>
  <c r="F41" i="12" l="1"/>
  <c r="E19" i="1"/>
  <c r="L72" i="17" l="1"/>
  <c r="I304" i="14" s="1"/>
  <c r="M97" i="17" l="1"/>
  <c r="N30" i="1"/>
  <c r="M26" i="17"/>
  <c r="M21" i="17"/>
  <c r="K66" i="17"/>
  <c r="G3" i="17"/>
  <c r="L120" i="17"/>
  <c r="K120" i="17"/>
  <c r="L119" i="17"/>
  <c r="K119" i="17"/>
  <c r="L118" i="17"/>
  <c r="K118" i="17"/>
  <c r="E43" i="9" s="1"/>
  <c r="L117" i="17"/>
  <c r="K117" i="17"/>
  <c r="L116" i="17"/>
  <c r="K116" i="17"/>
  <c r="L115" i="17"/>
  <c r="K115" i="17"/>
  <c r="L114" i="17"/>
  <c r="K114" i="17"/>
  <c r="L113" i="17"/>
  <c r="K113" i="17"/>
  <c r="L112" i="17"/>
  <c r="K112" i="17"/>
  <c r="E35" i="9" s="1"/>
  <c r="L111" i="17"/>
  <c r="K111" i="17"/>
  <c r="L110" i="17"/>
  <c r="K110" i="17"/>
  <c r="E34" i="9" s="1"/>
  <c r="L109" i="17"/>
  <c r="K109" i="17"/>
  <c r="I409" i="14" s="1"/>
  <c r="L108" i="17"/>
  <c r="K108" i="17"/>
  <c r="I419" i="14" s="1"/>
  <c r="L107" i="17"/>
  <c r="K107" i="17"/>
  <c r="L106" i="17"/>
  <c r="L105" i="17"/>
  <c r="K105" i="17"/>
  <c r="L104" i="17"/>
  <c r="K104" i="17"/>
  <c r="L99" i="17"/>
  <c r="K99" i="17"/>
  <c r="L98" i="17"/>
  <c r="K98" i="17"/>
  <c r="K96" i="17"/>
  <c r="M96" i="17" s="1"/>
  <c r="E10" i="9" s="1"/>
  <c r="K90" i="17"/>
  <c r="M90" i="17" s="1"/>
  <c r="K89" i="17"/>
  <c r="M89" i="17" s="1"/>
  <c r="K88" i="17"/>
  <c r="M88" i="17" s="1"/>
  <c r="K87" i="17"/>
  <c r="M87" i="17" s="1"/>
  <c r="K86" i="17"/>
  <c r="M86" i="17" s="1"/>
  <c r="K85" i="17"/>
  <c r="M85" i="17" s="1"/>
  <c r="K84" i="17"/>
  <c r="M84" i="17" s="1"/>
  <c r="L83" i="17"/>
  <c r="O90" i="17" s="1"/>
  <c r="E14" i="9" s="1"/>
  <c r="K83" i="17"/>
  <c r="L81" i="17"/>
  <c r="K81" i="17"/>
  <c r="L80" i="17"/>
  <c r="K80" i="17"/>
  <c r="K74" i="17"/>
  <c r="M74" i="17" s="1"/>
  <c r="L73" i="17"/>
  <c r="I305" i="14" s="1"/>
  <c r="K73" i="17"/>
  <c r="K72" i="17"/>
  <c r="M72" i="17" s="1"/>
  <c r="L71" i="17"/>
  <c r="I301" i="14" s="1"/>
  <c r="K71" i="17"/>
  <c r="L70" i="17"/>
  <c r="I303" i="14" s="1"/>
  <c r="K70" i="17"/>
  <c r="L69" i="17"/>
  <c r="I298" i="14" s="1"/>
  <c r="M331" i="14" s="1"/>
  <c r="M333" i="14" s="1"/>
  <c r="K69" i="17"/>
  <c r="L68" i="17"/>
  <c r="I302" i="14" s="1"/>
  <c r="K68" i="17"/>
  <c r="K67" i="17"/>
  <c r="M67" i="17" s="1"/>
  <c r="L66" i="17"/>
  <c r="F18" i="1" s="1"/>
  <c r="L65" i="17"/>
  <c r="F17" i="1" s="1"/>
  <c r="K65" i="17"/>
  <c r="K64" i="17"/>
  <c r="K63" i="17"/>
  <c r="L62" i="17"/>
  <c r="I287" i="14" s="1"/>
  <c r="K62" i="17"/>
  <c r="L61" i="17"/>
  <c r="K61" i="17"/>
  <c r="L60" i="17"/>
  <c r="I286" i="14" s="1"/>
  <c r="K60" i="17"/>
  <c r="L59" i="17"/>
  <c r="K59" i="17"/>
  <c r="L53" i="17"/>
  <c r="K53" i="17"/>
  <c r="L52" i="17"/>
  <c r="K52" i="17"/>
  <c r="L51" i="17"/>
  <c r="K51" i="17"/>
  <c r="L48" i="17"/>
  <c r="K48" i="17"/>
  <c r="L47" i="17"/>
  <c r="E44" i="11" s="1"/>
  <c r="E51" i="11" s="1"/>
  <c r="K47" i="17"/>
  <c r="L46" i="17"/>
  <c r="K46" i="17"/>
  <c r="L45" i="17"/>
  <c r="K45" i="17"/>
  <c r="K40" i="17"/>
  <c r="M40" i="17" s="1"/>
  <c r="L39" i="17"/>
  <c r="K39" i="17"/>
  <c r="L38" i="17"/>
  <c r="K38" i="17"/>
  <c r="L35" i="17"/>
  <c r="K35" i="17"/>
  <c r="L33" i="17"/>
  <c r="K33" i="17"/>
  <c r="L32" i="17"/>
  <c r="K32" i="17"/>
  <c r="L28" i="17"/>
  <c r="K28" i="17"/>
  <c r="L27" i="17"/>
  <c r="K27" i="17"/>
  <c r="L25" i="17"/>
  <c r="K25" i="17"/>
  <c r="L24" i="17"/>
  <c r="K24" i="17"/>
  <c r="L22" i="17"/>
  <c r="K22" i="17"/>
  <c r="L15" i="17"/>
  <c r="K15" i="17"/>
  <c r="L14" i="17"/>
  <c r="K14" i="17"/>
  <c r="L13" i="17"/>
  <c r="K13" i="17"/>
  <c r="L12" i="17"/>
  <c r="K12" i="17"/>
  <c r="L11" i="17"/>
  <c r="K11" i="17"/>
  <c r="L10" i="17"/>
  <c r="K10" i="17"/>
  <c r="M10" i="17" s="1"/>
  <c r="L9" i="17"/>
  <c r="K9" i="17"/>
  <c r="L8" i="17"/>
  <c r="K8" i="17"/>
  <c r="L7" i="17"/>
  <c r="K7" i="17"/>
  <c r="F60" i="11"/>
  <c r="F25" i="11"/>
  <c r="I410" i="14" l="1"/>
  <c r="I35" i="9"/>
  <c r="I290" i="14"/>
  <c r="M306" i="14"/>
  <c r="O306" i="14" s="1"/>
  <c r="M81" i="17"/>
  <c r="F75" i="11" s="1"/>
  <c r="M116" i="17"/>
  <c r="E39" i="9" s="1"/>
  <c r="M80" i="17"/>
  <c r="F65" i="11" s="1"/>
  <c r="M83" i="17"/>
  <c r="M48" i="17"/>
  <c r="L314" i="14"/>
  <c r="M298" i="14"/>
  <c r="M114" i="17"/>
  <c r="M119" i="17"/>
  <c r="M60" i="17"/>
  <c r="I434" i="14" s="1"/>
  <c r="M109" i="17"/>
  <c r="E38" i="9" s="1"/>
  <c r="M115" i="17"/>
  <c r="E49" i="9" s="1"/>
  <c r="M117" i="17"/>
  <c r="E41" i="9" s="1"/>
  <c r="M118" i="17"/>
  <c r="M113" i="17"/>
  <c r="M7" i="17"/>
  <c r="M9" i="17"/>
  <c r="N9" i="17" s="1"/>
  <c r="M13" i="17"/>
  <c r="M108" i="17"/>
  <c r="E37" i="9" s="1"/>
  <c r="M110" i="17"/>
  <c r="M112" i="17"/>
  <c r="M62" i="17"/>
  <c r="I435" i="14" s="1"/>
  <c r="M64" i="17"/>
  <c r="I446" i="14" s="1"/>
  <c r="M107" i="17"/>
  <c r="E36" i="9" s="1"/>
  <c r="M111" i="17"/>
  <c r="M120" i="17"/>
  <c r="E42" i="9" s="1"/>
  <c r="I42" i="9" s="1"/>
  <c r="M59" i="17"/>
  <c r="M65" i="17"/>
  <c r="I445" i="14" s="1"/>
  <c r="I10" i="9"/>
  <c r="M24" i="17"/>
  <c r="M32" i="17"/>
  <c r="M39" i="17"/>
  <c r="M61" i="17"/>
  <c r="I437" i="14" s="1"/>
  <c r="M71" i="17"/>
  <c r="M98" i="17"/>
  <c r="M68" i="17"/>
  <c r="M70" i="17"/>
  <c r="M99" i="17"/>
  <c r="M11" i="17"/>
  <c r="N11" i="17" s="1"/>
  <c r="M15" i="17"/>
  <c r="M27" i="17"/>
  <c r="M35" i="17"/>
  <c r="M105" i="17"/>
  <c r="E32" i="9" s="1"/>
  <c r="M63" i="17"/>
  <c r="M8" i="17"/>
  <c r="M12" i="17"/>
  <c r="M14" i="17"/>
  <c r="M22" i="17"/>
  <c r="M25" i="17"/>
  <c r="M28" i="17"/>
  <c r="M33" i="17"/>
  <c r="M38" i="17"/>
  <c r="L3" i="17"/>
  <c r="M69" i="17"/>
  <c r="M73" i="17"/>
  <c r="M104" i="17"/>
  <c r="E31" i="9" s="1"/>
  <c r="M106" i="17"/>
  <c r="M66" i="17"/>
  <c r="K3" i="17"/>
  <c r="I41" i="9" l="1"/>
  <c r="E40" i="9"/>
  <c r="F12" i="1"/>
  <c r="I12" i="1" s="1"/>
  <c r="N10" i="17"/>
  <c r="I36" i="14" s="1"/>
  <c r="I35" i="14"/>
  <c r="N8" i="17"/>
  <c r="I306" i="14"/>
  <c r="F19" i="1" s="1"/>
  <c r="O115" i="17"/>
  <c r="I43" i="9" s="1"/>
  <c r="I442" i="14"/>
  <c r="L41" i="14" s="1"/>
  <c r="I31" i="9"/>
  <c r="F69" i="11"/>
  <c r="G44" i="11"/>
  <c r="G51" i="11" s="1"/>
  <c r="L290" i="14"/>
  <c r="O120" i="17"/>
  <c r="D16" i="19"/>
  <c r="D19" i="19" s="1"/>
  <c r="E20" i="19" s="1"/>
  <c r="O34" i="17"/>
  <c r="I49" i="9"/>
  <c r="F16" i="12"/>
  <c r="M129" i="17"/>
  <c r="N3" i="17"/>
  <c r="D8" i="19"/>
  <c r="M101" i="17"/>
  <c r="M42" i="17"/>
  <c r="M13" i="1" s="1"/>
  <c r="M78" i="17"/>
  <c r="M20" i="1" s="1"/>
  <c r="D28" i="18"/>
  <c r="C28" i="18"/>
  <c r="H9" i="18" s="1"/>
  <c r="C13" i="18"/>
  <c r="H8" i="18" s="1"/>
  <c r="L306" i="14" l="1"/>
  <c r="P49" i="9"/>
  <c r="P51" i="9" s="1"/>
  <c r="I37" i="14"/>
  <c r="I14" i="9"/>
  <c r="I5" i="19"/>
  <c r="P7" i="19"/>
  <c r="D9" i="19" s="1"/>
  <c r="D10" i="19" s="1"/>
  <c r="H10" i="18"/>
  <c r="I40" i="9"/>
  <c r="I39" i="9"/>
  <c r="I38" i="9"/>
  <c r="I37" i="9"/>
  <c r="I36" i="9"/>
  <c r="I34" i="9"/>
  <c r="I32" i="9"/>
  <c r="I11" i="9"/>
  <c r="F15" i="12"/>
  <c r="E47" i="9" l="1"/>
  <c r="M377" i="14"/>
  <c r="M381" i="14" s="1"/>
  <c r="I17" i="9"/>
  <c r="I45" i="9"/>
  <c r="I15" i="9"/>
  <c r="E51" i="9" l="1"/>
  <c r="E60" i="9" s="1"/>
  <c r="I20" i="9"/>
  <c r="I47" i="9" s="1"/>
  <c r="I51" i="9" s="1"/>
  <c r="I60" i="9" s="1"/>
  <c r="I10" i="10" s="1"/>
  <c r="I18" i="1"/>
  <c r="F26" i="12" s="1"/>
  <c r="L70" i="9" l="1"/>
  <c r="L72" i="9" s="1"/>
  <c r="M81" i="9"/>
  <c r="E63" i="9"/>
  <c r="E10" i="10"/>
  <c r="F40" i="11" s="1"/>
  <c r="O73" i="9"/>
  <c r="O75" i="9" s="1"/>
  <c r="O77" i="9" s="1"/>
  <c r="O79" i="9" s="1"/>
  <c r="I20" i="10"/>
  <c r="I17" i="1"/>
  <c r="F25" i="12" s="1"/>
  <c r="F21" i="12"/>
  <c r="G40" i="11" l="1"/>
  <c r="F16" i="1"/>
  <c r="F11" i="12"/>
  <c r="F17" i="12" s="1"/>
  <c r="H13" i="1"/>
  <c r="I16" i="1" l="1"/>
  <c r="F24" i="12" s="1"/>
  <c r="F20" i="1"/>
  <c r="E20" i="10"/>
  <c r="F11" i="1"/>
  <c r="F10" i="1"/>
  <c r="I10" i="1" l="1"/>
  <c r="F13" i="1"/>
  <c r="L20" i="10"/>
  <c r="I11" i="1"/>
  <c r="F22" i="12" l="1"/>
  <c r="N13" i="1"/>
  <c r="F22" i="1" l="1"/>
  <c r="F34" i="1" s="1"/>
  <c r="F3" i="17"/>
  <c r="D4" i="16"/>
  <c r="D5" i="16"/>
  <c r="D6" i="16"/>
  <c r="D7" i="16"/>
  <c r="D8" i="16"/>
  <c r="D9" i="16"/>
  <c r="D10" i="16"/>
  <c r="D11" i="16"/>
  <c r="D12" i="16"/>
  <c r="D13" i="16"/>
  <c r="D14" i="16"/>
  <c r="D15" i="16"/>
  <c r="D16" i="16"/>
  <c r="D17" i="16"/>
  <c r="D18" i="16"/>
  <c r="I19" i="1" l="1"/>
  <c r="N20" i="1"/>
  <c r="H20" i="1"/>
  <c r="I20" i="1" s="1"/>
  <c r="F28" i="12" l="1"/>
  <c r="F30" i="12" s="1"/>
  <c r="H22" i="1"/>
  <c r="H24" i="1" s="1"/>
  <c r="H34" i="1" s="1"/>
  <c r="A1" i="13"/>
  <c r="A8" i="13"/>
  <c r="A18" i="13" s="1"/>
  <c r="A46" i="12"/>
  <c r="A49" i="12"/>
  <c r="A50" i="12"/>
  <c r="A55" i="12"/>
  <c r="A56" i="12"/>
  <c r="A1" i="11"/>
  <c r="A3" i="12"/>
  <c r="A3" i="13" s="1"/>
  <c r="A83" i="11"/>
  <c r="A86" i="11"/>
  <c r="A87" i="11"/>
  <c r="A92" i="11"/>
  <c r="A93" i="11"/>
  <c r="A23" i="10"/>
  <c r="A26" i="10"/>
  <c r="A27" i="10"/>
  <c r="A32" i="10"/>
  <c r="A33" i="10"/>
  <c r="E6" i="9"/>
  <c r="D49" i="9"/>
  <c r="A74" i="9"/>
  <c r="A77" i="9"/>
  <c r="A78" i="9"/>
  <c r="A83" i="9"/>
  <c r="A84" i="9"/>
  <c r="F79" i="11" l="1"/>
  <c r="A23" i="13"/>
  <c r="A27" i="13" s="1"/>
  <c r="A30" i="13" s="1"/>
  <c r="A34" i="13" s="1"/>
  <c r="A36" i="13" s="1"/>
  <c r="A15" i="13"/>
  <c r="O21" i="11"/>
  <c r="S21" i="11" s="1"/>
  <c r="E6" i="10"/>
  <c r="I29" i="14" s="1"/>
  <c r="I44" i="14" s="1"/>
  <c r="E10" i="1"/>
  <c r="E11" i="1"/>
  <c r="E16" i="1"/>
  <c r="P21" i="11" l="1"/>
  <c r="E23" i="11" s="1"/>
  <c r="E26" i="1"/>
  <c r="D58" i="9"/>
  <c r="O28" i="11"/>
  <c r="F6" i="12"/>
  <c r="H6" i="12" s="1"/>
  <c r="Q21" i="11" l="1"/>
  <c r="E24" i="11" s="1"/>
  <c r="G24" i="11" s="1"/>
  <c r="S28" i="11"/>
  <c r="P28" i="11" s="1"/>
  <c r="E29" i="11" s="1"/>
  <c r="D72" i="9"/>
  <c r="E25" i="11" l="1"/>
  <c r="G29" i="11"/>
  <c r="Q28" i="11"/>
  <c r="G30" i="11" s="1"/>
  <c r="E30" i="11" s="1"/>
  <c r="G23" i="11"/>
  <c r="G25" i="11" l="1"/>
  <c r="F35" i="12" s="1"/>
  <c r="F80" i="11" l="1"/>
  <c r="E65" i="9" l="1"/>
  <c r="R63" i="9" l="1"/>
  <c r="E70" i="9"/>
  <c r="E69" i="9" s="1"/>
  <c r="F66" i="11" s="1"/>
  <c r="F67" i="11" s="1"/>
  <c r="F71" i="11" s="1"/>
  <c r="F76" i="11" s="1"/>
  <c r="F74" i="11" s="1"/>
  <c r="P71" i="9"/>
  <c r="E31" i="11"/>
  <c r="E53" i="11" s="1"/>
  <c r="G31" i="11"/>
  <c r="G53" i="11" s="1"/>
  <c r="F24" i="1" s="1"/>
  <c r="F31" i="11"/>
  <c r="F53" i="11" s="1"/>
  <c r="L76" i="11" l="1"/>
  <c r="F36" i="12"/>
  <c r="F38" i="12" s="1"/>
  <c r="F40" i="12" s="1"/>
  <c r="F43" i="12" s="1"/>
  <c r="I43" i="12" s="1"/>
  <c r="L42" i="11"/>
  <c r="N53" i="11" l="1"/>
  <c r="L53" i="11"/>
  <c r="N24" i="1" l="1"/>
  <c r="I24" i="1"/>
</calcChain>
</file>

<file path=xl/comments1.xml><?xml version="1.0" encoding="utf-8"?>
<comments xmlns="http://schemas.openxmlformats.org/spreadsheetml/2006/main">
  <authors>
    <author>Murtaza Shabbir</author>
  </authors>
  <commentList>
    <comment ref="B377" authorId="0" shapeId="0">
      <text>
        <r>
          <rPr>
            <b/>
            <sz val="9"/>
            <color indexed="81"/>
            <rFont val="Tahoma"/>
            <charset val="1"/>
          </rPr>
          <t>Murtaza Shabbir:</t>
        </r>
        <r>
          <rPr>
            <sz val="9"/>
            <color indexed="81"/>
            <rFont val="Tahoma"/>
            <charset val="1"/>
          </rPr>
          <t xml:space="preserve">
0.28 annualized</t>
        </r>
      </text>
    </comment>
  </commentList>
</comments>
</file>

<file path=xl/sharedStrings.xml><?xml version="1.0" encoding="utf-8"?>
<sst xmlns="http://schemas.openxmlformats.org/spreadsheetml/2006/main" count="1631" uniqueCount="898">
  <si>
    <t xml:space="preserve">            Chief Executive Officer                              Chief Financial Officer                                          Director</t>
  </si>
  <si>
    <t xml:space="preserve">           _____________________                          _____________________                          _____________________</t>
  </si>
  <si>
    <t xml:space="preserve">                                                                               (Management Company)</t>
  </si>
  <si>
    <t xml:space="preserve">                                                       For MCB-Arif Habib Savings and Investments Limited</t>
  </si>
  <si>
    <t>---------- (Rupees) ----------</t>
  </si>
  <si>
    <t>NUMBER OF UNITS IN ISSUE</t>
  </si>
  <si>
    <t>------ (Number of units) ------</t>
  </si>
  <si>
    <t>Contingencies and commitments</t>
  </si>
  <si>
    <t>Unit holders' fund (as per statement attached)</t>
  </si>
  <si>
    <t>NET ASSETS</t>
  </si>
  <si>
    <t>Total liabilities</t>
  </si>
  <si>
    <t>Management Company</t>
  </si>
  <si>
    <t>LIABILITIES</t>
  </si>
  <si>
    <t>Total assets</t>
  </si>
  <si>
    <t>Investments</t>
  </si>
  <si>
    <t>Balances with banks</t>
  </si>
  <si>
    <t>ASSETS</t>
  </si>
  <si>
    <t>------ (Rupees in '000) ------</t>
  </si>
  <si>
    <t>Note</t>
  </si>
  <si>
    <t>(Audited)</t>
  </si>
  <si>
    <t>(Unaudited)</t>
  </si>
  <si>
    <t>June 30,</t>
  </si>
  <si>
    <t>CONDENSED INTERIM STATEMENT OF ASSETS AND LIABILITIES</t>
  </si>
  <si>
    <t>PAKISTAN CASH MANAGEMENT FUND</t>
  </si>
  <si>
    <t>- Excluding capital gains</t>
  </si>
  <si>
    <t>- Relating to capital gains</t>
  </si>
  <si>
    <t>Accounting income available for distribution:</t>
  </si>
  <si>
    <t>Income already paid on units redeemed</t>
  </si>
  <si>
    <t>Net income for the period after taxation</t>
  </si>
  <si>
    <t>Taxation</t>
  </si>
  <si>
    <t>Net income for the year before taxation</t>
  </si>
  <si>
    <t>of units issued less those in units redeemed</t>
  </si>
  <si>
    <t>Net element of loss and capital losses included in prices</t>
  </si>
  <si>
    <t>Net income for the period before taxation</t>
  </si>
  <si>
    <t>Provision for Sindh Workers' Welfare Fund (SWWF)</t>
  </si>
  <si>
    <t>Net income from operating activities</t>
  </si>
  <si>
    <t>Total expenses</t>
  </si>
  <si>
    <t xml:space="preserve">Auditors' remuneration </t>
  </si>
  <si>
    <t>Federal excise duty on management fee</t>
  </si>
  <si>
    <t>EXPENSES</t>
  </si>
  <si>
    <t>Total income</t>
  </si>
  <si>
    <t xml:space="preserve">   - Net loss on sale of investments</t>
  </si>
  <si>
    <t>- Income from government securities</t>
  </si>
  <si>
    <t>Available-for-sale investments</t>
  </si>
  <si>
    <t>Reversal of provision for Workers' Welfare Fund (WWF)</t>
  </si>
  <si>
    <t>as 'at fair value through profit or loss - held-for-trading'</t>
  </si>
  <si>
    <t>Net unrealised loss in the value of investments classified</t>
  </si>
  <si>
    <t>At fair value through profit or loss' - held-for-trading</t>
  </si>
  <si>
    <t>Mark-up on bank deposits</t>
  </si>
  <si>
    <t>INCOME</t>
  </si>
  <si>
    <t xml:space="preserve">Quarter Ended </t>
  </si>
  <si>
    <t>CONDENSED INTERIM INCOME STATEMENT (UNAUDITED)</t>
  </si>
  <si>
    <t>Total comprehensive income for the period</t>
  </si>
  <si>
    <t>investments classified as 'available-for-sale'</t>
  </si>
  <si>
    <t xml:space="preserve">Net unrealised appreciation on re-measurement of </t>
  </si>
  <si>
    <t>in subsequent periods</t>
  </si>
  <si>
    <t xml:space="preserve">To be reclassified to profit or loss account </t>
  </si>
  <si>
    <t xml:space="preserve">Quarter ended </t>
  </si>
  <si>
    <t>CONDENSED INTERIM STATEMENT OF COMPREHENSIVE INCOME (UNAUDITED)</t>
  </si>
  <si>
    <t>Rupees</t>
  </si>
  <si>
    <t>- Unrealised</t>
  </si>
  <si>
    <t>- Realised</t>
  </si>
  <si>
    <t>Undistributed income carried forward</t>
  </si>
  <si>
    <t>Accounting income available for distribution</t>
  </si>
  <si>
    <t>Refund / adjustment on units as element of income</t>
  </si>
  <si>
    <t>- Element of income</t>
  </si>
  <si>
    <t xml:space="preserve">- Capital value (at net assets value per unit </t>
  </si>
  <si>
    <t>including additional units</t>
  </si>
  <si>
    <t>------------------------------------------------- (Rupees in '000) -------------------------------------------------</t>
  </si>
  <si>
    <t>Capital value</t>
  </si>
  <si>
    <t>Total</t>
  </si>
  <si>
    <t>CONDENSED INTERIM STATEMENT OF MOVEMENT IN UNIT HOLDERS’ FUND (UNAUDITED)</t>
  </si>
  <si>
    <t>Dividend paid</t>
  </si>
  <si>
    <t>CASH FLOWS FROM FINANCING ACTIVITIES</t>
  </si>
  <si>
    <t>Net cash generated from operating activities</t>
  </si>
  <si>
    <t>Adjustments for:</t>
  </si>
  <si>
    <t>CASH FLOWS FROM OPERATING ACTIVITIES</t>
  </si>
  <si>
    <t>These condensed interim financial statements were authorised for issue on ___________ by the Board of Directors of the Management Company.</t>
  </si>
  <si>
    <t>DATE FOR AUTHORISATION FOR ISSUE</t>
  </si>
  <si>
    <t>Corresponding figures have been rearranged and reclassified, wherever necessary, for better presentation and disclosure. There have been no significant reclassifications during the period.</t>
  </si>
  <si>
    <t>GENERAL</t>
  </si>
  <si>
    <t>FAIR VALUE OF FINANCIAL INSTRUMENTS</t>
  </si>
  <si>
    <t>*</t>
  </si>
  <si>
    <t>Brokerage and settlement charges payable*</t>
  </si>
  <si>
    <t>Arif Habib Limited - Brokerage house</t>
  </si>
  <si>
    <t>Sales tax on remuneration payable</t>
  </si>
  <si>
    <t>Remuneration payable</t>
  </si>
  <si>
    <t>MCB Bank Limited</t>
  </si>
  <si>
    <t>Group / Associated Companies</t>
  </si>
  <si>
    <t>MCB Arif Habib Savings and Investment Limited</t>
  </si>
  <si>
    <t>Remuneration (including indirect taxes)</t>
  </si>
  <si>
    <t>Bank Charges</t>
  </si>
  <si>
    <t>Unit Holders' Fund</t>
  </si>
  <si>
    <t>TOTAL EXPENSE RATIO</t>
  </si>
  <si>
    <t>Earnings per unit based on cumulative weighted average units for the period has not been disclosed as in the opinion of the Management Company, the determination of the same is not practicable.</t>
  </si>
  <si>
    <t>TAXATION</t>
  </si>
  <si>
    <t>Out of pocket expenses</t>
  </si>
  <si>
    <t>Sales tax</t>
  </si>
  <si>
    <t>Other certification and services</t>
  </si>
  <si>
    <t>Half yearly review fee</t>
  </si>
  <si>
    <t>Annual audit fee</t>
  </si>
  <si>
    <t>AUDITORS' REMUNERATION</t>
  </si>
  <si>
    <t>14.</t>
  </si>
  <si>
    <t>CONTINGENCIES AND COMMITMENTS</t>
  </si>
  <si>
    <t>Federal Excise Duty on remuneration to the Management Company</t>
  </si>
  <si>
    <t>Brokerage payable</t>
  </si>
  <si>
    <t>Withholding tax payable</t>
  </si>
  <si>
    <t>Sindh sales tax on remuneration payable</t>
  </si>
  <si>
    <t>This includes a balance of Rs.0.10 (June 30, 2018: Rs. 0.08) million receivable on a balances held with MCB Bank Limited (a related party).</t>
  </si>
  <si>
    <t>Market treasury bills</t>
  </si>
  <si>
    <t>Government securities - Market treasury bills</t>
  </si>
  <si>
    <t>---- (Rupees in '000) ----</t>
  </si>
  <si>
    <t>Investments by category</t>
  </si>
  <si>
    <t xml:space="preserve">INVESTMENTS </t>
  </si>
  <si>
    <t>In saving accounts</t>
  </si>
  <si>
    <t>In current accounts</t>
  </si>
  <si>
    <t>BALANCES WITH BANKS</t>
  </si>
  <si>
    <t>There are certain amendments to the accounting standards that are mandatory for the Fund's annual accounting period beginning on or after July 1, 2018. However, these do not have any significant impact on the Fund's operations and, therefore, have not been detailed in these condensed interim financial statements other than as disclosed in note 3.2.</t>
  </si>
  <si>
    <t xml:space="preserve">Amendments to published approved accounting standards that are effective in the current period </t>
  </si>
  <si>
    <t>SUMMARY OF SIGNIFICANT ACCOUNTING POLICIES, ACCOUNTING ESTIMATES, JUDGMENTS AND RISK MANAGEMENT</t>
  </si>
  <si>
    <t>3.</t>
  </si>
  <si>
    <t>-</t>
  </si>
  <si>
    <t>Statement of compliance</t>
  </si>
  <si>
    <t>BASIS OF PREPARATION</t>
  </si>
  <si>
    <t>Units are offered for public subscription on a continuous basis. The units are transferable and can be redeemed by surrendering them to the Fund.</t>
  </si>
  <si>
    <t>LEGAL STATUS AND NATURE OF BUSINESS</t>
  </si>
  <si>
    <t>1.</t>
  </si>
  <si>
    <t>NOTES TO AND FORMING PART OF THE CONDENSED INTERIM FINANCIAL STATEMENTS (UN-AUDITED)</t>
  </si>
  <si>
    <t>Market
value</t>
  </si>
  <si>
    <t>Carrying value</t>
  </si>
  <si>
    <t>Purchased during the period</t>
  </si>
  <si>
    <t>Face value</t>
  </si>
  <si>
    <t xml:space="preserve">Market treasury bills </t>
  </si>
  <si>
    <t>Market treasury bills - 3 months</t>
  </si>
  <si>
    <t>------------ % ------------</t>
  </si>
  <si>
    <t>-------------------------------------------- (Rupees in '000) --------------------------------------------</t>
  </si>
  <si>
    <t>Unrealized gain /
(loss)</t>
  </si>
  <si>
    <t>Sold / matured during the period</t>
  </si>
  <si>
    <t>Issue Date</t>
  </si>
  <si>
    <t>Name of Security</t>
  </si>
  <si>
    <t>Associated company</t>
  </si>
  <si>
    <t>------------------------------ Units ------------------------------</t>
  </si>
  <si>
    <t>Redeemed</t>
  </si>
  <si>
    <t>Bonus</t>
  </si>
  <si>
    <t>Issued 
for cash</t>
  </si>
  <si>
    <t>Issued
 for cash</t>
  </si>
  <si>
    <t>----------------------- (Rupees in '000) -----------------------</t>
  </si>
  <si>
    <t>Details of transactions and balances at period end with related parties / connected persons, other than those which have been disclosed elsewhere in these condensed interim financial statements, are as follows:</t>
  </si>
  <si>
    <t>Remuneration payable to the Management Company and the Trustee is determined in accordance with the provision of the NBFC Regulations and constitutive documents of the Fund.</t>
  </si>
  <si>
    <t>Related parties / connected persons of the Fund include the Management Company, other collective investment schemes managed by the Management Company, MCB Bank Limited being the Holding Company of the Management Company, the Trustee, directors and key management personnel, other associated undertakings.</t>
  </si>
  <si>
    <t>TRANSACTIONS WITH CONNECTED PERSONS / OTHER RELATED PARTIES</t>
  </si>
  <si>
    <t xml:space="preserve">Market value as a percentage of </t>
  </si>
  <si>
    <t>net assets</t>
  </si>
  <si>
    <t>total
invest-ments</t>
  </si>
  <si>
    <t>Mandate under discretionary portfolio</t>
  </si>
  <si>
    <t>OB1531 3</t>
  </si>
  <si>
    <t>OB1534 3</t>
  </si>
  <si>
    <t>OB1704 9</t>
  </si>
  <si>
    <t>OB1658 3</t>
  </si>
  <si>
    <t>OS1536 5</t>
  </si>
  <si>
    <t>OS1602 3</t>
  </si>
  <si>
    <t>OS1645 1</t>
  </si>
  <si>
    <t>OS1733 9</t>
  </si>
  <si>
    <t>OS17686</t>
  </si>
  <si>
    <t>OS17656</t>
  </si>
  <si>
    <t>OS17657</t>
  </si>
  <si>
    <t>OS17648</t>
  </si>
  <si>
    <t>Purchase Deal #</t>
  </si>
  <si>
    <t>Sales Deal #</t>
  </si>
  <si>
    <t>Sale Date</t>
  </si>
  <si>
    <t>Deal Date
Purchase</t>
  </si>
  <si>
    <t>Settlement Date</t>
  </si>
  <si>
    <t>Maturity</t>
  </si>
  <si>
    <t>Total Tenure from the date of purchase</t>
  </si>
  <si>
    <t>Days to maturity</t>
  </si>
  <si>
    <t>Purchase price</t>
  </si>
  <si>
    <t>Purchase amount</t>
  </si>
  <si>
    <t xml:space="preserve">Face Value </t>
  </si>
  <si>
    <t xml:space="preserve">Discount </t>
  </si>
  <si>
    <t>Yield</t>
  </si>
  <si>
    <t>Closing Price</t>
  </si>
  <si>
    <t>Income</t>
  </si>
  <si>
    <t>Issue date</t>
  </si>
  <si>
    <t>OB1660 7</t>
  </si>
  <si>
    <t>OB1679 8</t>
  </si>
  <si>
    <t>OB1681 8</t>
  </si>
  <si>
    <t>OB1703 8</t>
  </si>
  <si>
    <t>OB1705 5</t>
  </si>
  <si>
    <t>OB1713 7</t>
  </si>
  <si>
    <t>OB1735 2</t>
  </si>
  <si>
    <t>OB1718 6</t>
  </si>
  <si>
    <t>OB1741 0</t>
  </si>
  <si>
    <t>OB1757 8</t>
  </si>
  <si>
    <t>Trail Balance</t>
  </si>
  <si>
    <t>Account Code</t>
  </si>
  <si>
    <t>Account Name</t>
  </si>
  <si>
    <t>Debit</t>
  </si>
  <si>
    <t>Credit</t>
  </si>
  <si>
    <t>BANK BALANCES - BANK AL FALAH LIMITED  - KSE BRANCH</t>
  </si>
  <si>
    <t>BANK BALANCES - MCB BANK LIMITED - GLOBAL TRANSACTION - SHAHEEN COMPLEX BRANCH</t>
  </si>
  <si>
    <t>BANK BALANCES - MCB BANK LIMITED - REDEMPTION ACCOUNT - UNI TOWER BRANCH</t>
  </si>
  <si>
    <t>BANK BALANCES - UNITED BANK LIMITED - CORPORATE BRANCH</t>
  </si>
  <si>
    <t>Bank Balances - Habib Metro Bank - Main Branch (Mcbfsl)</t>
  </si>
  <si>
    <t>Bank Balances - Allied Bank Limited - Foreign Exch Br (Mcbfsl)</t>
  </si>
  <si>
    <t>Bank Balances - Bank Al Habib Limited - Main Branch</t>
  </si>
  <si>
    <t>Bank Balances - Zarai Taraqiati Bank Limited - Shafi Court Branch</t>
  </si>
  <si>
    <t>Bank Balances -Allied Bank Limited-Kse Branch</t>
  </si>
  <si>
    <t>TREASURY BILLS  APPRECIATION / DIMINUTION  HFT</t>
  </si>
  <si>
    <t>TREASURY BILLS  DISCOUNT / AMORTISATION  HFT</t>
  </si>
  <si>
    <t>PROFIT RECEIVABLE - ALLIED BANK LIMITED - FOREIGN EXCHANGE BRANCH</t>
  </si>
  <si>
    <t>PROFIT RECEIVABLE - HABIB METROPOLITAN BANK LIMITED - MAIN BRANCH</t>
  </si>
  <si>
    <t>Profit Receivable - Allied Bank Limited - Kse Branch</t>
  </si>
  <si>
    <t>Profit Receivable - Allied Bank Limited - FX BRANCH (Current AC)</t>
  </si>
  <si>
    <t>ADVANCES AGAINST TAX DEDUCTED AGAINST BANK PROFIT</t>
  </si>
  <si>
    <t>PREPAYMENT OF PACRA AGAINST ANNUAL PACRA RATING FEE</t>
  </si>
  <si>
    <t>Prepayment Of Legal Charges</t>
  </si>
  <si>
    <t>Prepayment Of Psx Against Annual Listing Fee</t>
  </si>
  <si>
    <t>ISSUED OF UNITS AGAINST SALE OF UNITS</t>
  </si>
  <si>
    <t>REDEMPTION OF UNITS  NORMAL</t>
  </si>
  <si>
    <t>CONVERSION IN UNITS</t>
  </si>
  <si>
    <t>CONVERSION OUT UNITS</t>
  </si>
  <si>
    <t>ELEMENT OF INCOME  REALIZED</t>
  </si>
  <si>
    <t>ELEMENT OF INCOME  UNREALIZED</t>
  </si>
  <si>
    <t>BALANCE ACCOUNT</t>
  </si>
  <si>
    <t>MANAGEMENT FEE PAYABLE</t>
  </si>
  <si>
    <t>SALE LOAD PAYABLE</t>
  </si>
  <si>
    <t>SALES TAX PAYABLE AGAINST MANAGEMENT FEE</t>
  </si>
  <si>
    <t>FED TAX PAYABLE AGAINST MANAGEMENT FEE</t>
  </si>
  <si>
    <t>Sales Tax Payable On Trustee Fee</t>
  </si>
  <si>
    <t>TRUSTEE REMUNERATION PAYABLE</t>
  </si>
  <si>
    <t>PAYABLE TO SECP  ANNUAL FEE</t>
  </si>
  <si>
    <t>DIVIDEND PAYABLE</t>
  </si>
  <si>
    <t>BROKERAGE PAYABLE MONEY MARKET</t>
  </si>
  <si>
    <t>WORKER'S WELFARE FUND PAYABLE</t>
  </si>
  <si>
    <t>AUDIT FEE PAYABLE</t>
  </si>
  <si>
    <t>WITHHOLDING TAX PAYABLE  CGT U/S 37A</t>
  </si>
  <si>
    <t>PAYABLE TO LEGAL ADVISOR</t>
  </si>
  <si>
    <t>PRINTING CHARGES PAYABLE</t>
  </si>
  <si>
    <t>OTHER PAYABLE</t>
  </si>
  <si>
    <t>Back Office Operation Payable</t>
  </si>
  <si>
    <t>CAPITAL GAIN / (LOSS) ON SALE OF T-BILLS</t>
  </si>
  <si>
    <t>URG/LOSS INVESTMENTS IN TBILLS</t>
  </si>
  <si>
    <t>PROFIT ON - ALLIED BANK LIMITED - FOREIGN EXCHANGE BRANCH</t>
  </si>
  <si>
    <t>PROFIT ON - BANK AL FALAH LIMITED  - KSE BRANCH</t>
  </si>
  <si>
    <t>Profit On - Habib Metropolitan Bank Limited - Main Branch</t>
  </si>
  <si>
    <t>Profit On - Mcb Bank Limited - Uni Tower Branch</t>
  </si>
  <si>
    <t>Profit On - Mcb Bank Limited - Shaheen Complex Branch</t>
  </si>
  <si>
    <t>Profit On - Mcb Bank Limited - Redemption Account - Uni Tower Branch</t>
  </si>
  <si>
    <t xml:space="preserve"> Profit on - Allied Bank Limited - KSE Branch</t>
  </si>
  <si>
    <t>AMORTIZATION / DISCOUNT ON GOVT SEC BILLSS</t>
  </si>
  <si>
    <t>ELEMENT OF INCOME - REALIZED</t>
  </si>
  <si>
    <t>ELEMENT OF INCOME - UNREALIZED</t>
  </si>
  <si>
    <t>MANAGEMENT COMPANY REMUNERATION</t>
  </si>
  <si>
    <t>SALES TAX ON MANAGEMENT COMPANY REMUNERATION</t>
  </si>
  <si>
    <t>TRUSTEE REMUNERATION</t>
  </si>
  <si>
    <t>Sales Tax On Trustee Fee</t>
  </si>
  <si>
    <t>SECP ANNUAL FEE</t>
  </si>
  <si>
    <t>Back Office Operation Expenses</t>
  </si>
  <si>
    <t>BROKERAGE EXPENSE  MONEY MARKET TRANSACTIONS</t>
  </si>
  <si>
    <t>TAXATIONWORKERS WELFARE FUND (WWF)</t>
  </si>
  <si>
    <t>AUDIT FEE EXPENSE</t>
  </si>
  <si>
    <t>LEGAL AND PROFESSIONAL CHARGES</t>
  </si>
  <si>
    <t>FEE &amp; SUBSCRIPANNUAL PACRA FEE</t>
  </si>
  <si>
    <t>Fee &amp; Subscription Annual Listing Fee Psx</t>
  </si>
  <si>
    <t>PRINTING OF ACCOUNTS CHARGES</t>
  </si>
  <si>
    <t>BANK CHARGES - ALLIED BANK LIMITED</t>
  </si>
  <si>
    <t>BANK CHARGES - HABIB METROPOLITAN BANK LIMITED</t>
  </si>
  <si>
    <t>BANK CHARGES - MCB BANK LIMITED</t>
  </si>
  <si>
    <t>Rounded</t>
  </si>
  <si>
    <t>Rounded '000</t>
  </si>
  <si>
    <t xml:space="preserve">Tax GL missing </t>
  </si>
  <si>
    <t>Payable to legal advisor</t>
  </si>
  <si>
    <t>Isssuance</t>
  </si>
  <si>
    <t>Units</t>
  </si>
  <si>
    <t>Amount</t>
  </si>
  <si>
    <t>Total CONVERSION_IN</t>
  </si>
  <si>
    <t>Total APP CONVERSION</t>
  </si>
  <si>
    <t>Total SALE</t>
  </si>
  <si>
    <t>Total CGT Refund</t>
  </si>
  <si>
    <t>Redemption</t>
  </si>
  <si>
    <t>Total WEB REDEMPTION</t>
  </si>
  <si>
    <t>Total POS REDEMPTION</t>
  </si>
  <si>
    <t>Total New Card Charges</t>
  </si>
  <si>
    <t>Total REDEMPTION</t>
  </si>
  <si>
    <t>Total ATM REDEMPTION</t>
  </si>
  <si>
    <t>Total SMA TRANSACTION</t>
  </si>
  <si>
    <t>Total CONVERSION_OUT</t>
  </si>
  <si>
    <t>Total APP REDEMPTION</t>
  </si>
  <si>
    <t>Opening</t>
  </si>
  <si>
    <t>Issuance</t>
  </si>
  <si>
    <t>Closing</t>
  </si>
  <si>
    <t>Amount of Issuance</t>
  </si>
  <si>
    <t>Issuance Units</t>
  </si>
  <si>
    <t>Ex-Nav</t>
  </si>
  <si>
    <t>Capital Value</t>
  </si>
  <si>
    <t>Portion of Element</t>
  </si>
  <si>
    <t>Amount of Redemption</t>
  </si>
  <si>
    <t>Redemption Units</t>
  </si>
  <si>
    <t>Portion of element</t>
  </si>
  <si>
    <t>Assets</t>
  </si>
  <si>
    <t>UHF</t>
  </si>
  <si>
    <t>Payable</t>
  </si>
  <si>
    <t>Expenses</t>
  </si>
  <si>
    <t>Balancing</t>
  </si>
  <si>
    <t>For Watch window check</t>
  </si>
  <si>
    <t>Internote Check</t>
  </si>
  <si>
    <t>Sales load payable</t>
  </si>
  <si>
    <t>Provision of SWWF</t>
  </si>
  <si>
    <t>Employees Provident Fund</t>
  </si>
  <si>
    <t>MCB Arif Habib savings and investments</t>
  </si>
  <si>
    <t>Limited</t>
  </si>
  <si>
    <t>(Un-Audited)</t>
  </si>
  <si>
    <t>Working</t>
  </si>
  <si>
    <t>Opening June</t>
  </si>
  <si>
    <t>3M bill</t>
  </si>
  <si>
    <t>Net</t>
  </si>
  <si>
    <t>Opening cash and cash equivalents</t>
  </si>
  <si>
    <t>Balance</t>
  </si>
  <si>
    <t>T-bill</t>
  </si>
  <si>
    <t>Remuneration of MCB-Arif Habib Savings and Investments</t>
  </si>
  <si>
    <t xml:space="preserve">   Limited - Management Company</t>
  </si>
  <si>
    <t>Sindh Sales tax on remuneration of the Management Company</t>
  </si>
  <si>
    <t>Sindh Sales tax on remuneration of the Trustee</t>
  </si>
  <si>
    <t>Allocated expenses payable</t>
  </si>
  <si>
    <t>Pursuant to the merger of MCB Asset Management Company Limited with and into Arif Habib Investments Limited (AHIL), the name of AHIL has been changed to MCB-Arif Habib Savings and Investments Limited.</t>
  </si>
  <si>
    <t>At fair value through profit or loss</t>
  </si>
  <si>
    <t>-------- (Rupees in '000) --------</t>
  </si>
  <si>
    <t>Details of transactions with connected persons are as follows:</t>
  </si>
  <si>
    <t>MCB Arif Habib Savings and Investments Limited</t>
  </si>
  <si>
    <t>CONDENSED INTERIM CASH FLOW STATEMENT (UNAUDITED)</t>
  </si>
  <si>
    <t>Investments - net</t>
  </si>
  <si>
    <t>'Effective from July 01, 2018, the fund has adopted IFRS 9: ''Financial Instruments'' which has replaced IAS 39:</t>
  </si>
  <si>
    <t>''Financial Instruments: Recognition and Measurement''. The standard addresses recognition, classification,</t>
  </si>
  <si>
    <t>measurement and derecognition of financial assets and financial liabilities.The standard has also introduced a new</t>
  </si>
  <si>
    <t>impairment model for financial assets which requires recognition of impairment charge based on 'expected credit</t>
  </si>
  <si>
    <t>losses' (ECL) approach rather than 'incurred credit losses' approach, as previously given under IAS 39. However, the</t>
  </si>
  <si>
    <t>SECP vide its letter dated November 21, 2017, has deferred the applicability of requirements relating to impairment</t>
  </si>
  <si>
    <t>for debt securities on mutual funds till further instructions. Currently, the Asset Management Companies are required</t>
  </si>
  <si>
    <t>to continue to follow the requirements of Circular 33 of 2012 for impairment of debt securities. Furthermore, the ECL</t>
  </si>
  <si>
    <t>has an impact on all other assets of the Fund which are exposed to credit risk. However, majority of the assets of the</t>
  </si>
  <si>
    <t>Fund other than debt securities (for which there is a separate criteria as mentioned above) that are exposed to credit</t>
  </si>
  <si>
    <t>risk pertain to counter parties which have high credit rating. Therefore, the management believes that the impact of</t>
  </si>
  <si>
    <t>the ECL would be very minimal and hence, the same has not been accounted for in these financial statements.</t>
  </si>
  <si>
    <t>IFRS 9 has provided a criteria for debt securities whereby debt securities are either classified as (a) amortised cost</t>
  </si>
  <si>
    <t>or (b) at fair value through other comprehensive income ''(FVOCI)'' or (c) at fair value through profit or loss (FVPL)</t>
  </si>
  <si>
    <t>based on the business model of the entity. The Fund is primarily focused on fair value information and uses that</t>
  </si>
  <si>
    <t>information to assess the assets’ performance and to make decisions. Furthermore, the collection of contractual</t>
  </si>
  <si>
    <t>cash flows for debt securities is only incidental to achieving the Fund’s business model’s objective .</t>
  </si>
  <si>
    <t>IFRS 9 requires securities managed as a portfolio or group of assets and whose performance is measured on a fair</t>
  </si>
  <si>
    <t>value basis to be recognized as FVPL.The management considers its investment in debt securities being managed</t>
  </si>
  <si>
    <t>The following amendments would be effective from the dates mentioned below against the respective am endment:</t>
  </si>
  <si>
    <t>Amendments Effective date (accounting</t>
  </si>
  <si>
    <t>periods beginning on or after)</t>
  </si>
  <si>
    <t>- IFRS 9 - 'Financial instruments' (amendment)</t>
  </si>
  <si>
    <t>- IAS 1 - 'Presentation of financial statements' (amendment)</t>
  </si>
  <si>
    <t>- IAS 8 - 'Accounting policies, change in accounting</t>
  </si>
  <si>
    <t>estimates and errors' (amendment)</t>
  </si>
  <si>
    <t>2.5 Critical accounting estimates and judgments</t>
  </si>
  <si>
    <t>These amendments may impact the financial statements of the Fund on adoption. The Management is curr ently in</t>
  </si>
  <si>
    <t>the process of assessing the full impact of these amendments on the financial statements of the Fund.</t>
  </si>
  <si>
    <t>as a group of assets and hence has classified them as FVPL. Accordingly, the Fund’s investment portfolio continues</t>
  </si>
  <si>
    <t>to be classified as fair value through profit or loss and other financial assets which are held for collection continue to</t>
  </si>
  <si>
    <t>be measured at amortised cost.</t>
  </si>
  <si>
    <t>The adoption of IFRS-9 did not have any impact on classification and measurement of financial assets and financial</t>
  </si>
  <si>
    <t>liabilities on the date of its adoption.</t>
  </si>
  <si>
    <t>There are no other standards, amendments to standards or interpretations that are effective for annual p</t>
  </si>
  <si>
    <t>PAYABLE TO THE MCB-ARIF HABIB SAVINGS &amp; INVESTMENTS</t>
  </si>
  <si>
    <t>LIMITED - MANAGEMENT COMPANY</t>
  </si>
  <si>
    <t>Market treasury bills - 6 months</t>
  </si>
  <si>
    <t>Opening Receivable</t>
  </si>
  <si>
    <t>Profit earned during the period</t>
  </si>
  <si>
    <t xml:space="preserve">Closing Receivable </t>
  </si>
  <si>
    <t>Bank profit received</t>
  </si>
  <si>
    <t>Profit receivable on savings accounts</t>
  </si>
  <si>
    <t>closing</t>
  </si>
  <si>
    <t xml:space="preserve">Working </t>
  </si>
  <si>
    <t>Advances, deposits and prepayments</t>
  </si>
  <si>
    <t>Advances, prepayments and security deposits</t>
  </si>
  <si>
    <t>Other receivable</t>
  </si>
  <si>
    <t xml:space="preserve">Arif habib Limited - Brokerage house </t>
  </si>
  <si>
    <t>Legal and professional charges</t>
  </si>
  <si>
    <t>Printing and stationery</t>
  </si>
  <si>
    <t>Accrued expenses and other liabilities</t>
  </si>
  <si>
    <t>Income from government securities</t>
  </si>
  <si>
    <t>Annual fee to the Securities and Exchange Commission of Pakistan</t>
  </si>
  <si>
    <t>------------------------------ (Rupees in '000) ------------------------------</t>
  </si>
  <si>
    <t>Undistributed income brought forward comprising of:</t>
  </si>
  <si>
    <t>- Unrealised gain</t>
  </si>
  <si>
    <t>Undistributed income carried forward comprising of:</t>
  </si>
  <si>
    <t>Payable to the Securities and Exchange Commission of Pakistan</t>
  </si>
  <si>
    <t xml:space="preserve">Decrease / (increase) in assets </t>
  </si>
  <si>
    <t>Management remuneration payable</t>
  </si>
  <si>
    <t>Remuneration to the Trustee of the Fund is determined in accordance with the provisions of the Trust Deed.</t>
  </si>
  <si>
    <t>Remuneration to the Management Company of the Fund is determined in accordance with the provisions of the NBFC Regulations and the Trust Deed.</t>
  </si>
  <si>
    <t>Balance with bank</t>
  </si>
  <si>
    <t>NET ASSET VALUE PER UNIT</t>
  </si>
  <si>
    <t>Profit on bank deposits</t>
  </si>
  <si>
    <t>Allocated expenses</t>
  </si>
  <si>
    <t>Brokerage, settlement charges and bank charges</t>
  </si>
  <si>
    <t>EARNINGS PER UNIT</t>
  </si>
  <si>
    <t>Earnings per unit</t>
  </si>
  <si>
    <t>Undistributed income</t>
  </si>
  <si>
    <t xml:space="preserve">Undistributed income </t>
  </si>
  <si>
    <t>Advances, prepayments and profit receivable</t>
  </si>
  <si>
    <t>Payable to MCB - Arif Habib Savings and Investments Limited- Management Company</t>
  </si>
  <si>
    <t>Receipts from issuance and conversion of units</t>
  </si>
  <si>
    <t>Payments against redemption and conversion of units</t>
  </si>
  <si>
    <t>Cash and cash equivalents at the end of the period</t>
  </si>
  <si>
    <t>The Management Company of the Fund obtained the requisite license from the Securities and Exchange Commission of Pakistan (SECP) to undertake asset management services under the Non-Banking Finance Companies (Establishment and Regulation) Rules, 2003 (the NBFC Rules). The registered office of the Management Company is situated at 2nd Floor, Adamjee House, I.I Chundrigar Road, Karachi, Pakistan.</t>
  </si>
  <si>
    <t>The Fund is an open-ended mutual fund and has been categorised as "money market scheme" and is listed on the Pakistan Stock Exchange Limited. The Fund primarily invests in market treasury bills, short term Government instruments and reverse repurchase transactions against government securities.</t>
  </si>
  <si>
    <t>Related parties / connected persons of the Fund include the Management Company, other collective investment schemes managed by the Management Company, MCB Bank Limited being the Holding Company of the Management Company, the Trustee, directors, key management personnel and other associated undertakings and connected persons. Connected persons also include any person beneficially owing directly or indirectly 10% or more of the units in the issue / net assets of the Fund.</t>
  </si>
  <si>
    <t>Transactions with connected persons essentially comprise sale and redemption of units, fee on account of managing the affairs of the Fund, other charges, sale and purchase of investments and distribution payments to connected persons. The transactions with connected persons are in the normal course of business, at contracted rates and at terms determined in accordance with market rates.</t>
  </si>
  <si>
    <t>The details of transactions during the current period and balances at period end with related parties / connected persons are as follows:</t>
  </si>
  <si>
    <t>Brokerage charges*</t>
  </si>
  <si>
    <t>The amount disclosed represents the amount of brokerage paid to connected persons and not the purchase or sale value of securities transacted through them. The purchase or sale value has not been treated as transaction with connected persons as the ultimate counter parties are not the connected persons.</t>
  </si>
  <si>
    <t>Key management personnel*</t>
  </si>
  <si>
    <t>services*</t>
  </si>
  <si>
    <t>Hyundai Nishat Motor (Private) Limited</t>
  </si>
  <si>
    <t>Balances outstanding at period / year end:</t>
  </si>
  <si>
    <t>---------------------------------------- (Rupees in '000) -----------------------------------------</t>
  </si>
  <si>
    <t>Allocation of net income for the period:</t>
  </si>
  <si>
    <t>Other comprehensive income for the period</t>
  </si>
  <si>
    <t>TRANSACTION WITH CONNECTED PERSONS / RELATED PARTIES</t>
  </si>
  <si>
    <t>Net assets at the beginning of the period</t>
  </si>
  <si>
    <t>Net assets at the end of the period</t>
  </si>
  <si>
    <t>Net asset value per unit at the beginning of the period</t>
  </si>
  <si>
    <t>Net asset value per unit at the end of the period</t>
  </si>
  <si>
    <t xml:space="preserve">Advances, prepayments and profit receivable </t>
  </si>
  <si>
    <t>at the beginning of the period)</t>
  </si>
  <si>
    <t>Cash and cash equivalents at the beginning of the period</t>
  </si>
  <si>
    <t>Net assets</t>
  </si>
  <si>
    <t>More than 10,000,000,000</t>
  </si>
  <si>
    <t>Revised Tariff 
(Flat Rate)</t>
  </si>
  <si>
    <t>Net Assets (Rs.)</t>
  </si>
  <si>
    <t>Fee</t>
  </si>
  <si>
    <t>0.075% p.a. of net assets</t>
  </si>
  <si>
    <t xml:space="preserve">-Up to Rs.1.5 billion </t>
  </si>
  <si>
    <t xml:space="preserve">-Up to Rs.4 billion </t>
  </si>
  <si>
    <t xml:space="preserve">-Up to Rs.6 billion </t>
  </si>
  <si>
    <t xml:space="preserve">-Up to Rs.10 billion </t>
  </si>
  <si>
    <t xml:space="preserve">Rs.0.015 per month of net assets </t>
  </si>
  <si>
    <t xml:space="preserve">Rs.0.075 per month of net assets </t>
  </si>
  <si>
    <t xml:space="preserve">Rs.0.150 per month of net assets </t>
  </si>
  <si>
    <t xml:space="preserve">Rs.0.300 per month of net assets </t>
  </si>
  <si>
    <t xml:space="preserve">Rs.0.500 per month of net assets </t>
  </si>
  <si>
    <t>Revised Tariff</t>
  </si>
  <si>
    <t xml:space="preserve">-Over Rs.10 billion </t>
  </si>
  <si>
    <t>Particular</t>
  </si>
  <si>
    <t>Trustee Fee</t>
  </si>
  <si>
    <t>Rupees in '000</t>
  </si>
  <si>
    <t>Up to</t>
  </si>
  <si>
    <t>Exceeding</t>
  </si>
  <si>
    <t>Revised Trustee Fee</t>
  </si>
  <si>
    <t>-------------------Rupees in '000------------------------</t>
  </si>
  <si>
    <t>Net assets up to</t>
  </si>
  <si>
    <t>Revised Trustee Fee on a monthly basis</t>
  </si>
  <si>
    <t>Net assets 
exceeding</t>
  </si>
  <si>
    <t xml:space="preserve">Provision for Federal Excise Duty on remuneration to </t>
  </si>
  <si>
    <t>the Management Company</t>
  </si>
  <si>
    <t>ISSUED OF ADDITIONAL UNITS</t>
  </si>
  <si>
    <t>UNAPPROPRIATED INCOME</t>
  </si>
  <si>
    <t>Profit On - Zarai Taraqiati Bank Limited - Shafi Court Branch</t>
  </si>
  <si>
    <t>Total as at June 30, 2020</t>
  </si>
  <si>
    <t>REDEMPTION PRICE</t>
  </si>
  <si>
    <t>REALIZED ELEMENT IMPACT</t>
  </si>
  <si>
    <t>UN-REALIZED ELEMENT IMPACT</t>
  </si>
  <si>
    <t>CURRENT NAV</t>
  </si>
  <si>
    <t>Total TRANSFER_IN</t>
  </si>
  <si>
    <t>Total ADDITIONAL_UNITS</t>
  </si>
  <si>
    <t>Total DIVIDEND_ANNOUNCME</t>
  </si>
  <si>
    <t>Total Annual Card Charges</t>
  </si>
  <si>
    <t>Total TRANSFER_OUT</t>
  </si>
  <si>
    <t>Market treasury bills - 12 months</t>
  </si>
  <si>
    <t xml:space="preserve">Unrealised appreciation / (dimunition) on re-measurement of </t>
  </si>
  <si>
    <t>investments classified as 'at fair value through profit or loss' - net</t>
  </si>
  <si>
    <t>(Decrease) / increase in liabilities</t>
  </si>
  <si>
    <t>Net cash (used in) / generated from financing activities</t>
  </si>
  <si>
    <t>Net (decrease) / increase in cash and cash equivalents during the period</t>
  </si>
  <si>
    <t>classified as 'financial assets at fair value through profit or loss' - net</t>
  </si>
  <si>
    <t>Accrued and other liabilities</t>
  </si>
  <si>
    <t>ACCRUED AND OTHER LIABILITIES</t>
  </si>
  <si>
    <t>Capital loss on sale of investments - net</t>
  </si>
  <si>
    <t>Distributions during the period</t>
  </si>
  <si>
    <t>Unrealised appreciation on re-measurement of investments</t>
  </si>
  <si>
    <t>Auditors' remuneration payable</t>
  </si>
  <si>
    <t>Allocated expenses (including indirect taxes)</t>
  </si>
  <si>
    <t>As at 
July 01, 2020</t>
  </si>
  <si>
    <t>Impact of COVID-19</t>
  </si>
  <si>
    <t>Other payables</t>
  </si>
  <si>
    <t>PROFIT RECEIVABLE - BANK AL FALAH LIMITED  - KSE</t>
  </si>
  <si>
    <t>Profit on - Allied Bank Limited - FX BRANCH (Current AC)</t>
  </si>
  <si>
    <t>March 31,</t>
  </si>
  <si>
    <t>Nine months period ended March 31, 2021</t>
  </si>
  <si>
    <t>ircc login</t>
  </si>
  <si>
    <t>Other expenses</t>
  </si>
  <si>
    <t>March 31, 2021 (Unaudited)</t>
  </si>
  <si>
    <t>As at March 31, 2021</t>
  </si>
  <si>
    <t>BANK BALANCES - ALLIED BANK LIMITED - FX Current A/C</t>
  </si>
  <si>
    <t>Total as at March 31, 2021</t>
  </si>
  <si>
    <t>This condensed interim financial statements have been prepared in accordance with the accounting and reporting standards as applicable in Pakistan which comprises of:</t>
  </si>
  <si>
    <t>International Accounting Standard (IAS) 34, Interim Financial Reporting, issued by  the International Accounting Standards Board (IASB) as notified under the Companies Act, 2017 (the Act);</t>
  </si>
  <si>
    <t xml:space="preserve"> Provisions of and directives issued under the Companies Act, 2017 along with part VIIIA of the repealed Companies Ordinance, 1984; and  </t>
  </si>
  <si>
    <t>Where provisions of and directives issued under the Companies Act, 2017, Part VIIIA of the repealed Companies Ordinance, 1984, the NBFC rules, the  NBFC Regulations and requirements of the Trust Deed differ from the International Accounting Standard (IAS) 34, Interim Financial Reporting,  the provisions of and directives issued under the Companies Act, 2017, Part VIIIA of the repealed Companies Ordinance, 1984,  the NBFC Rules, the NBFC Regulations and requirements of the Trust Deed have been followed.</t>
  </si>
  <si>
    <t>The disclosures made in this condensed interim financial information have, however, been limited based on the requirements of the International Accounting Standard 34: 'Interim Financial Reporting'. This condensed interim financial information is unaudited.</t>
  </si>
  <si>
    <t>In compliance with schedule V of the NBFC Regulations the Directors of the Management Company, hereby declare that this condensed interim financial statement give a true and fair view of the state of affairs of the Fund.</t>
  </si>
  <si>
    <t>This condensed interim financial information is presented in Pak Rupees which is the functional and presentation currency of the Fund.</t>
  </si>
  <si>
    <t>Payable to the Securities and Exchange Commission of Pakistan (SECP)</t>
  </si>
  <si>
    <t>Nine months period ended</t>
  </si>
  <si>
    <t>2.1.1</t>
  </si>
  <si>
    <t>Balance as at March 31, 2021</t>
  </si>
  <si>
    <t>As at July 01, 2020</t>
  </si>
  <si>
    <t>`</t>
  </si>
  <si>
    <t>In March 2020, the World Health Organization ("WHO") declared the outbreak of the novel coronavirus (known as COVID-19) as a global pandemic. The rapid spread of the virus has caused governments around the world to implement stringent measures to help control its spread, including, without limitation, quarantines, stay-at-home or "shelter-in-place" orders, social-distancing mandates, travel restrictions, and closures or reduced operations for businesses, governmental agencies, schools and other institutions. The industry, along with global economic conditions generally, has been significantly disrupted by the pandemic.</t>
  </si>
  <si>
    <t>The COVID-19 pandemic and associated impacts on economic activity had certain effect on the operational and financial condition of the Fund for the period ended 31 December 2020 due to increase in overall credit risk pertaining to the corporate debt instruments’ portfolios of mutual funds, subdued equity market performance due to overall slowdown in economic activity and continuity of business operations. However, to reduce the impact on the economy and business, regulators / government across the country have introduced a host of measures on both the fiscal and economic fronts from time to time.</t>
  </si>
  <si>
    <t>The management of the Fund is closely monitoring the situation, and in response to the developments, the management has taken action to ensure the safety of its employees and other stakeholders, and initiated a number of initiatives.</t>
  </si>
  <si>
    <t>The Management Company of the Fund expects that going forward these uncertainties would reduce as the impact of COVID-19 on overall economy subsides and have concluded that there is no impact on current financial statements of the Fund.</t>
  </si>
  <si>
    <t>Unit holders holding 10% or more units*</t>
  </si>
  <si>
    <t>* This reflects the position of related party / connected persons status as at March 31, 2021.</t>
  </si>
  <si>
    <t>The NBFC Rules, the Non-Banking Finance Companies and Notified Entities Regulations, 2008 (the NBFC Regulations) and the requirements of Trust Deed.</t>
  </si>
  <si>
    <t>IFRS 13 - 'Fair Value Measurement' establishes a single source of guidance under IFRS for all fair value measurements and disclosures about fair value measurement where such measurements are required as permitted by other IFRSs. It defines fair value as the price that would be received to sell an asset or paid to transfer a liability in an orderly transaction between market participants at the measurement date (i.e. an exit price).</t>
  </si>
  <si>
    <t>Financial assets which are tradable in an open market are revalued at the market prices prevailing on the close of trading i.e., period end. The estimated fair value of all other financial assets and financial liabilities is considered not significantly different from book value as these are short term in nature.</t>
  </si>
  <si>
    <t>The following table shows financial instruments recognized at fair value based on:</t>
  </si>
  <si>
    <t>Level 1 : quoted prices in active markets for identical assets or liabilities;</t>
  </si>
  <si>
    <t>Level 2 : those involving inputs other than quoted prices included in Level 1 that are observable for the asset or liability, either directly (as prices) or indirectly (derived from prices); and</t>
  </si>
  <si>
    <t>Level 3 : those with inputs for the asset or liability that are not based on observable market data (unobservable inputs).</t>
  </si>
  <si>
    <t>Figures have been rounded off to the nearest thousand Rupees unless otherwise stated.</t>
  </si>
  <si>
    <t>Certain prior period's figures have been re-arranged / re-classified, wherever necessary, to facilitate comparison in the presentation in the current period. However, there are material re-arrangements / re-classifications to report.</t>
  </si>
  <si>
    <t>The annexed notes from 1 to 16 form an integral part of these condensed interim financial statements.</t>
  </si>
  <si>
    <t>IN C P</t>
  </si>
  <si>
    <t>AS AT MARCH 31, 2022</t>
  </si>
  <si>
    <t>FOR THE NINE MONTHS AND QUARTER ENDED MARCH 31, 2022</t>
  </si>
  <si>
    <t>Nine months period ended March 31, 2022</t>
  </si>
  <si>
    <t>010100100001</t>
  </si>
  <si>
    <t>BANK BALANCES - ALLIED BANK LIMITED - FOREIGN EXCHANGE BRANCH</t>
  </si>
  <si>
    <t>010100100005</t>
  </si>
  <si>
    <t>010100100021</t>
  </si>
  <si>
    <t>010100100022</t>
  </si>
  <si>
    <t>010100100040</t>
  </si>
  <si>
    <t>010100100055</t>
  </si>
  <si>
    <t>010100100056</t>
  </si>
  <si>
    <t>010100100069</t>
  </si>
  <si>
    <t>010100100072</t>
  </si>
  <si>
    <t>010100100087</t>
  </si>
  <si>
    <t>Bank Balances - Habib Bank Limited - Kse Branch</t>
  </si>
  <si>
    <t>010100100114</t>
  </si>
  <si>
    <t>010100100122</t>
  </si>
  <si>
    <t>010300300002</t>
  </si>
  <si>
    <t>010300300003</t>
  </si>
  <si>
    <t>010300400002</t>
  </si>
  <si>
    <t>PAKISTAN INVESTMENT BONDS  APPRECIATION / DIMINUTION  HFT</t>
  </si>
  <si>
    <t>010300400003</t>
  </si>
  <si>
    <t>PAKISTAN INVESTMENT BONDS  DISCOUNT / AMORTISATION  HFT</t>
  </si>
  <si>
    <t>010601100001</t>
  </si>
  <si>
    <t>010601100005</t>
  </si>
  <si>
    <t>010601100015</t>
  </si>
  <si>
    <t>010601100089</t>
  </si>
  <si>
    <t>Profit Receivable - Habib Bank Limited Kse Branch</t>
  </si>
  <si>
    <t>010601100110</t>
  </si>
  <si>
    <t>010601100113</t>
  </si>
  <si>
    <t>010601600001</t>
  </si>
  <si>
    <t>ACCRUED PROFIT ON GOVT SECTY  PIB</t>
  </si>
  <si>
    <t>010700300001</t>
  </si>
  <si>
    <t>010700700005</t>
  </si>
  <si>
    <t>010700700006</t>
  </si>
  <si>
    <t>Prepayment Of KSE Against Annual Listing Fee</t>
  </si>
  <si>
    <t>010700700008</t>
  </si>
  <si>
    <t>010700700009</t>
  </si>
  <si>
    <t>020100100001</t>
  </si>
  <si>
    <t>020100100002</t>
  </si>
  <si>
    <t>020100200001</t>
  </si>
  <si>
    <t>020100300001</t>
  </si>
  <si>
    <t>020100400001</t>
  </si>
  <si>
    <t>020200100001</t>
  </si>
  <si>
    <t>020200200001</t>
  </si>
  <si>
    <t>020300100001</t>
  </si>
  <si>
    <t>020500100001</t>
  </si>
  <si>
    <t>030100100001</t>
  </si>
  <si>
    <t>030100200001</t>
  </si>
  <si>
    <t>030100600001</t>
  </si>
  <si>
    <t>030100700001</t>
  </si>
  <si>
    <t>030100800001</t>
  </si>
  <si>
    <t>030200100001</t>
  </si>
  <si>
    <t>030400100001</t>
  </si>
  <si>
    <t>030900100001</t>
  </si>
  <si>
    <t>031000500001</t>
  </si>
  <si>
    <t>031000600001</t>
  </si>
  <si>
    <t>031000700001</t>
  </si>
  <si>
    <t>031000800001</t>
  </si>
  <si>
    <t>031001200001</t>
  </si>
  <si>
    <t>031001700001</t>
  </si>
  <si>
    <t>031001900001</t>
  </si>
  <si>
    <t>031001900002</t>
  </si>
  <si>
    <t>Unearned Income</t>
  </si>
  <si>
    <t>031200100001</t>
  </si>
  <si>
    <t>0314001001</t>
  </si>
  <si>
    <t>Marketing And Selling Payable</t>
  </si>
  <si>
    <t>040100400001</t>
  </si>
  <si>
    <t>040101600001</t>
  </si>
  <si>
    <t>040200100001</t>
  </si>
  <si>
    <t>040200100005</t>
  </si>
  <si>
    <t>040200100015</t>
  </si>
  <si>
    <t>040200100017</t>
  </si>
  <si>
    <t>040200100021</t>
  </si>
  <si>
    <t>040200100022</t>
  </si>
  <si>
    <t>040200100034</t>
  </si>
  <si>
    <t>Profit On - United Bank Limited - Corporate Branch</t>
  </si>
  <si>
    <t>040200100072</t>
  </si>
  <si>
    <t>040200100090</t>
  </si>
  <si>
    <t>Profit On - Habib Bank Limited Kse Branch</t>
  </si>
  <si>
    <t>040200100111</t>
  </si>
  <si>
    <t>040200100114</t>
  </si>
  <si>
    <t>040200200001</t>
  </si>
  <si>
    <t>RETURN ON TERM DEPOSIT ACCOUNTS</t>
  </si>
  <si>
    <t>040201600001</t>
  </si>
  <si>
    <t>040400100001</t>
  </si>
  <si>
    <t>040400200001</t>
  </si>
  <si>
    <t>050100100001</t>
  </si>
  <si>
    <t>050100100002</t>
  </si>
  <si>
    <t>050100100003</t>
  </si>
  <si>
    <t>FED EXPENSE ON MGM FEE</t>
  </si>
  <si>
    <t>050100200001</t>
  </si>
  <si>
    <t>050100200002</t>
  </si>
  <si>
    <t>050100300001</t>
  </si>
  <si>
    <t>050100500001</t>
  </si>
  <si>
    <t>050100500002</t>
  </si>
  <si>
    <t>SST on Back Office Operation Expenses</t>
  </si>
  <si>
    <t>0501006001</t>
  </si>
  <si>
    <t>Marketing And Selling Expense</t>
  </si>
  <si>
    <t>050200100002</t>
  </si>
  <si>
    <t>050500100001</t>
  </si>
  <si>
    <t>050500100002</t>
  </si>
  <si>
    <t>Taxationworkers Welfare Fund (Wwf) - Reversal</t>
  </si>
  <si>
    <t>050600100001</t>
  </si>
  <si>
    <t>050600200001</t>
  </si>
  <si>
    <t>050600300006</t>
  </si>
  <si>
    <t>050600300009</t>
  </si>
  <si>
    <t>050700100001</t>
  </si>
  <si>
    <t>051000100001</t>
  </si>
  <si>
    <t>051000100003</t>
  </si>
  <si>
    <t>BANK CHARGES - BANK AL FALAH LIMITED</t>
  </si>
  <si>
    <t>051000100008</t>
  </si>
  <si>
    <t>BANK CHARGES - HABIB BANK LIMITED</t>
  </si>
  <si>
    <t>051000100009</t>
  </si>
  <si>
    <t>051000100010</t>
  </si>
  <si>
    <t>051000100016</t>
  </si>
  <si>
    <t>BANK CHARGES - UNITED BANK LIMITED</t>
  </si>
  <si>
    <t>Reversal/(Provision) for Sindh Workers' Welfare Fund (SWWF)</t>
  </si>
  <si>
    <t>Total ROLLOVER INVESTMEN</t>
  </si>
  <si>
    <t>Total BI REDEMPTION</t>
  </si>
  <si>
    <t>Total ROLLOVER REDEMPTIO</t>
  </si>
  <si>
    <t>Total iPayment</t>
  </si>
  <si>
    <t>Total Mob.Number Verificatio</t>
  </si>
  <si>
    <t>@ Rs 0.1882 per unit declared on July 22, 2020</t>
  </si>
  <si>
    <t>@ Rs 1.8741 per unit declared on Feb 09,2021</t>
  </si>
  <si>
    <t>@ Rs 0.3194 per unit declared on March 15, 2021</t>
  </si>
  <si>
    <t>Total as at June 30, 2021</t>
  </si>
  <si>
    <t>net assets of the fund</t>
  </si>
  <si>
    <t>As at July 01, 2021</t>
  </si>
  <si>
    <t>As at March 31, 2022</t>
  </si>
  <si>
    <t>Balance as at March 31, 2022</t>
  </si>
  <si>
    <t xml:space="preserve">Unit holders holding 10% or more units </t>
  </si>
  <si>
    <t>MCB Arif Habib savings and investments Limited</t>
  </si>
  <si>
    <t>Provident Fund Trust</t>
  </si>
  <si>
    <t>Nishat Paper Products Company Limited Staff</t>
  </si>
  <si>
    <t>Fund</t>
  </si>
  <si>
    <t>Adamjee Insurance Co.Ltd Employees Provident</t>
  </si>
  <si>
    <t>Adamjee Insurance Co.Ltd. Employees Gratuity</t>
  </si>
  <si>
    <t>Security General Insurance Company Limited</t>
  </si>
  <si>
    <t>As at 
July 01, 2021</t>
  </si>
  <si>
    <t>* This reflects the position of related party / connected persons status as at March 31, 2022.</t>
  </si>
  <si>
    <t>March 31, 2022 (Unaudited)</t>
  </si>
  <si>
    <t>TOTAL DISTRIBUTION</t>
  </si>
  <si>
    <t>During the period ended December 31, 2021, the Management Company on behalf of the Fund, has distributed Rs. 91.916 million and Rs. 60.713 million as dividend on September 14, 2021 and October 12, 2021, respectively .Subsequently, in accordance with an amendment in clause 5.1 of of the Offering Document, the Fund has distributed and re-invested dividend on a daily basis. The amendment was made effective from October 13, 2021.</t>
  </si>
  <si>
    <t>------------------------------------------ (Unaudited)----------------------------------------</t>
  </si>
  <si>
    <t xml:space="preserve">Declaration date </t>
  </si>
  <si>
    <t>Rate per unit</t>
  </si>
  <si>
    <t>Refund of</t>
  </si>
  <si>
    <t>Distribution</t>
  </si>
  <si>
    <t>capital</t>
  </si>
  <si>
    <t>from income</t>
  </si>
  <si>
    <t>distribution</t>
  </si>
  <si>
    <t>----- (Rupees in '000) -----</t>
  </si>
  <si>
    <t>14</t>
  </si>
  <si>
    <t>Payout date</t>
  </si>
  <si>
    <t>Payout per unit</t>
  </si>
  <si>
    <t>15</t>
  </si>
  <si>
    <t>15.1</t>
  </si>
  <si>
    <t>15.2</t>
  </si>
  <si>
    <t>The Pakistan Credit Rating Agency Limited (PACRA) has assigned an asset manager rating of 'AM1' dated October 06, 2021 to the Management Company and has assigned stability rating of 'AA+(f)' dated March 09, 2022 to the Fund.</t>
  </si>
  <si>
    <t>The accounting policies adopted and the methods of computation of balances used in the preparation of these condensed interim financial statements are the same as those applied in the preparation of the annual financial statements of the Fund for the year ended June 30, 2021.</t>
  </si>
  <si>
    <t>The preparation of the condensed interim financial statements in conformity with accounting and reporting standards as applicable in Pakistan requires management to make estimates, assumptions and use judgments that affect the application of policies and reported amounts of assets, liabilities, income and expenses. Estimates, assumptions and judgments are continually evaluated and are based on historical experience and other factors, including reasonable expectations of future events. Revisions to accounting estimates are recognised prospectively commencing from the period of revision. In preparing the condensed interim financial statements, the significant judgments made by management in applying the Fund’s accounting policies and the key sources of estimation and uncertainty were the same as those applied to the financial statements as at and for the year ended June 30, 2021. The Fund’s financial risk management objectives and policies are consistent with those disclosed in the annual financial statements of the Funds for the year ended June 30, 2021.</t>
  </si>
  <si>
    <t>These carry profit at the rates ranging from 8.25% to 12.65% per annum (Jun 2021: 5.50% to 7.85% per annum).</t>
  </si>
  <si>
    <t>16</t>
  </si>
  <si>
    <t>The Fund's income is exempt from income tax as per clause (99) of part I of the Second Schedule to the Income Tax Ordinance, 2001 subject to the condition that not less than 90% of the accounting income for the year as reduced by capital gains whether realised or unrealised is distributed amongst the unit holders by way of cash dividend. Furthermore, as per regulation 63 of the Non-Banking Finance Companies and Notified Entities Regulations, 2008, the Fund is required to distribute 90% of the net accounting income other than unrealised capital gains to the unit holders in cash. The Fund is also exempt from the provision of Section 113 (minimum tax) under clause 11A of Part IV of the Second Schedule to the Income Tax Ordinance, 2001. Since the management intends to distribute atleast 90% of the income earned by the Fund during the year ending June 30, 2022 to the unit holders, no provision for taxation has been made in these condensed interim financial statements.</t>
  </si>
  <si>
    <t>There were no contingencies and commitments outstanding as at March 31, 2022 and June 30, 2021.</t>
  </si>
  <si>
    <t>As a consequence of the 18th amendment to the Constitution of Pakistan, in May 2015 the Sindh Workers’ Welfare Fund Act, 2014 (SWWF Act) had been passed by the Government of Sindh as a result of which every industrial establishment located in the Province of Sindh, the total income of which in any accounting year is not less than Rs 0.50 million, is required to pay Sindh Workers’ Welfare Fund (SWWF) in respect of that year a sum equal to two percent of such income. The matter was taken up by the Mutual Funds Association of Pakistan (MUFAP) with the Sindh Revenue Board (SRB) collectively on behalf of various asset management companies and their CISs whereby it was contested that mutual funds should be excluded from the ambit of SWWF Act as these were not industrial establishments but were pass-through investment vehicles and did not employ workers. The SRB held that mutual funds were included in the definition of financial institutions as per the Financial Institution (Recovery of Finances) Ordinance, 2001 and were, hence, required to register and pay SWWF under SWWF Act. Thereafter, MUFAP had taken up the matter with the Sindh Finance Ministry to have CISs / mutual funds excluded from the applicability of SWWF. In view of the above developments regarding the applicability of SWWF on CISs / mutual funds, MUFAP had recommended that as a matter of abundant caution provision in respect of SWWF should be made on a prudent basis with effect from the date of enactment of the Sindh WWF Act, 2014 (i.e. starting from May 21, 2015). The Funds had accordingly made provision in respect of SWWF as recommended by MUFAP.</t>
  </si>
  <si>
    <t>During the current period, SRB through its letter dated August 12, 2021 intimated MUFAP that the mutual funds do not qualify as financial institutions / industrial establishments and are therefore, not liable to pay SWWF contributions. This development was discussed at MUFAP level and was also taken up with the SECP and all the Asset Management Companies, in consultation with the SECP, have reversed the cumulative provision of SWWF. The Fund has also reversed provision for SWWF amounting to Rs. 12.614 million in these condensed interim financial statements of the Fund, for the period from May 21, 2015 to August 12, 2021, on August 13, 2021. The SECP also gave its concurrence for prospective reversal of provision for SWWF. Going forward, no provision for SWWF has been recognised in these condensed interim financial statements of the Fund.</t>
  </si>
  <si>
    <t>Payable to Digital Custodian Company Limited - Trustee</t>
  </si>
  <si>
    <t xml:space="preserve">Payable to MCB - Arif Habib Savings and Investments Limited - Management Company  </t>
  </si>
  <si>
    <t>Remuneration of the Digital Custodian Company Limited - Trustee</t>
  </si>
  <si>
    <t>Profit on term deposits receipts</t>
  </si>
  <si>
    <t>Selling and marketing expenses</t>
  </si>
  <si>
    <t>CG</t>
  </si>
  <si>
    <t>Other</t>
  </si>
  <si>
    <t>Refund of capital for the period ended Mar 31, 2022</t>
  </si>
  <si>
    <t>Total Interim distribution for the year ended Mar 31, 2022</t>
  </si>
  <si>
    <t>Total Interim distribution for the year ended Mar 31, 2021</t>
  </si>
  <si>
    <t>Title to the assets of the Fund is held in the name of Digital Custodian Company Limited as Trustee of the Fund.</t>
  </si>
  <si>
    <t>This condensed interim financial information does not include all the information and disclosures required for full annual financial statements and should be read in conjunction with the financial statements for the year ended 30 June 2021.  The comparative in the statement of assets and liabilities presented in the condensed interim financial information as at 31 March 2022 have been extracted from the audited financial statements of the Fund for the year ended 30 June 2021, where as the comparatives in the condensed interim income statement, condensed interim cash flow statement, condensed interim distribution statement and condensed interim statement of movement in unit holders' funds are stated from unaudited condensed interim financial information for the nine months ended 31 March 2021.</t>
  </si>
  <si>
    <t>Total as at March 31, 2022</t>
  </si>
  <si>
    <t>Sale Load Payable</t>
  </si>
  <si>
    <t>Payable against allocated expenses</t>
  </si>
  <si>
    <t>Digital Custodian Company Limited - Trustee</t>
  </si>
  <si>
    <t>October 13, 2021 to March 6, 2022</t>
  </si>
  <si>
    <t>March 8, 2022 to March 31, 2022</t>
  </si>
  <si>
    <t>FOR THE NINE MONTHS ENDED MARCH 31, 2022</t>
  </si>
  <si>
    <t>13 Oct'21-6 Mar'22</t>
  </si>
  <si>
    <t>8 Mar'22-31 Mar'22</t>
  </si>
  <si>
    <t>Gernal Ledger 030900100001 DIVIDEND PAYABLE</t>
  </si>
  <si>
    <t>FUND</t>
  </si>
  <si>
    <t>VOUCH NO</t>
  </si>
  <si>
    <t>DATE</t>
  </si>
  <si>
    <t>NARRATION</t>
  </si>
  <si>
    <t>DEBIT</t>
  </si>
  <si>
    <t>CREDIT</t>
  </si>
  <si>
    <t>BALANCE</t>
  </si>
  <si>
    <t>PCF</t>
  </si>
  <si>
    <t>OPENING BALANCE</t>
  </si>
  <si>
    <t>Dividend @ 1.0029</t>
  </si>
  <si>
    <t>DIVIDEND PAYMENT</t>
  </si>
  <si>
    <t>DIVIDEND_ANNOUNCMENT</t>
  </si>
  <si>
    <t>Dividend @0.3133</t>
  </si>
  <si>
    <t>Dividend Payable 13-OCT-2021</t>
  </si>
  <si>
    <t>Dividend Payable 14-OCT-2021</t>
  </si>
  <si>
    <t>Dividend Tax</t>
  </si>
  <si>
    <t>Dividend Payable 15-OCT-2021</t>
  </si>
  <si>
    <t>Dividend Payable 16-OCT-2021</t>
  </si>
  <si>
    <t>Dividend Payable 17-OCT-2021</t>
  </si>
  <si>
    <t>Dividend Payable 18-OCT-2021</t>
  </si>
  <si>
    <t>Dividend Payable 19-OCT-2021</t>
  </si>
  <si>
    <t>Dividend Payable 20-OCT-2021</t>
  </si>
  <si>
    <t>Dividend Payable 21-OCT-2021</t>
  </si>
  <si>
    <t>Dividend Payable 22-OCT-2021</t>
  </si>
  <si>
    <t>Dividend Payable 23-OCT-2021</t>
  </si>
  <si>
    <t>Dividend Payable 24-OCT-2021</t>
  </si>
  <si>
    <t>Dividend Payable 25-OCT-2021</t>
  </si>
  <si>
    <t>Dividend Payable 26-OCT-2021</t>
  </si>
  <si>
    <t>Dividend Payable 27-OCT-2021</t>
  </si>
  <si>
    <t>Dividend Payable 28-OCT-2021</t>
  </si>
  <si>
    <t>Dividend Payable 29-OCT-2021</t>
  </si>
  <si>
    <t>Dividend Payable 30-OCT-2021</t>
  </si>
  <si>
    <t>Dividend Payable 31-OCT-2021</t>
  </si>
  <si>
    <t>Dividend Payable 01-NOV-2021</t>
  </si>
  <si>
    <t>Dividend Payable 02-NOV-2021</t>
  </si>
  <si>
    <t>Dividend Payable 03-NOV-2021</t>
  </si>
  <si>
    <t>Dividend Payable 04-NOV-2021</t>
  </si>
  <si>
    <t>Dividend Payable 05-NOV-2021</t>
  </si>
  <si>
    <t>Dividend Payable 06-NOV-2021</t>
  </si>
  <si>
    <t>Dividend Payable 07-NOV-2021</t>
  </si>
  <si>
    <t>Dividend Payable 08-NOV-2021</t>
  </si>
  <si>
    <t>Dividend Payable 09-NOV-2021</t>
  </si>
  <si>
    <t>Dividend Payable 10-NOV-2021</t>
  </si>
  <si>
    <t>Dividend Payable 11-NOV-2021</t>
  </si>
  <si>
    <t>Dividend Payable 12-NOV-2021</t>
  </si>
  <si>
    <t>Dividend Payable 13-NOV-2021</t>
  </si>
  <si>
    <t>Dividend Payable 14-NOV-2021</t>
  </si>
  <si>
    <t>Dividend Payable 15-NOV-2021</t>
  </si>
  <si>
    <t>Dividend Payable 16-NOV-2021</t>
  </si>
  <si>
    <t>Dividend Payable 17-NOV-2021</t>
  </si>
  <si>
    <t>Dividend Payable 18-NOV-2021</t>
  </si>
  <si>
    <t>Dividend Payable 19-NOV-2021</t>
  </si>
  <si>
    <t>Dividend Payable 20-NOV-2021</t>
  </si>
  <si>
    <t>Dividend Payable 21-NOV-2021</t>
  </si>
  <si>
    <t>Dividend Payable 22-NOV-2021</t>
  </si>
  <si>
    <t>Dividend Payable 23-NOV-2021</t>
  </si>
  <si>
    <t>Dividend Payable 24-NOV-2021</t>
  </si>
  <si>
    <t>Dividend Payable 25-NOV-2021</t>
  </si>
  <si>
    <t>Dividend Payable 26-NOV-2021</t>
  </si>
  <si>
    <t>Dividend Payable 27-NOV-2021</t>
  </si>
  <si>
    <t>Dividend Payable 28-NOV-2021</t>
  </si>
  <si>
    <t>Dividend Payable 29-NOV-2021</t>
  </si>
  <si>
    <t>Dividend Payable 30-NOV-2021</t>
  </si>
  <si>
    <t>Dividend Payable 01-DEC-2021</t>
  </si>
  <si>
    <t>Dividend Payable 02-DEC-2021</t>
  </si>
  <si>
    <t>Dividend Payable 03-DEC-2021</t>
  </si>
  <si>
    <t>Dividend Payable 04-DEC-2021</t>
  </si>
  <si>
    <t>Dividend Payable 05-DEC-2021</t>
  </si>
  <si>
    <t>Dividend Payable 06-DEC-2021</t>
  </si>
  <si>
    <t>Dividend Payable 07-DEC-2021</t>
  </si>
  <si>
    <t>Dividend Payable 08-DEC-2021</t>
  </si>
  <si>
    <t>Dividend Payable 09-DEC-2021</t>
  </si>
  <si>
    <t>Dividend Payable 10-DEC-2021</t>
  </si>
  <si>
    <t>Dividend Payable 11-DEC-2021</t>
  </si>
  <si>
    <t>Dividend Payable 12-DEC-2021</t>
  </si>
  <si>
    <t>Dividend Payable 13-DEC-2021</t>
  </si>
  <si>
    <t>Dividend Payable 14-DEC-2021</t>
  </si>
  <si>
    <t>Dividend Payable 15-DEC-2021</t>
  </si>
  <si>
    <t>Dividend Payable 16-DEC-2021</t>
  </si>
  <si>
    <t>Dividend Payable 17-DEC-2021</t>
  </si>
  <si>
    <t>Dividend Payable 18-DEC-2021</t>
  </si>
  <si>
    <t>Dividend Payable 19-DEC-2021</t>
  </si>
  <si>
    <t>Dividend Payable 20-DEC-2021</t>
  </si>
  <si>
    <t>Dividend Payable 21-DEC-2021</t>
  </si>
  <si>
    <t>Dividend Payable 22-DEC-2021</t>
  </si>
  <si>
    <t>Dividend Payable 23-DEC-2021</t>
  </si>
  <si>
    <t>Dividend Payable 24-DEC-2021</t>
  </si>
  <si>
    <t>Dividend Payable 25-DEC-2021</t>
  </si>
  <si>
    <t>Dividend Payable 26-DEC-2021</t>
  </si>
  <si>
    <t>Dividend Payable 27-DEC-2021</t>
  </si>
  <si>
    <t>Dividend Payable 28-DEC-2021</t>
  </si>
  <si>
    <t>Dividend Payable 29-DEC-2021</t>
  </si>
  <si>
    <t>Dividend Payable 30-DEC-2021</t>
  </si>
  <si>
    <t>Dividend Payable 31-DEC-2021</t>
  </si>
  <si>
    <t>Dividend Payable 01-JAN-2022</t>
  </si>
  <si>
    <t>Dividend Payable 02-JAN-2022</t>
  </si>
  <si>
    <t>Dividend Payable 03-JAN-2022</t>
  </si>
  <si>
    <t>Dividend Payable 04-JAN-2022</t>
  </si>
  <si>
    <t>Dividend Payable 05-JAN-2022</t>
  </si>
  <si>
    <t>Dividend Payable 06-JAN-2022</t>
  </si>
  <si>
    <t>Dividend Payable 07-JAN-2022</t>
  </si>
  <si>
    <t>Dividend Payable 08-JAN-2022</t>
  </si>
  <si>
    <t>Dividend Payable 09-JAN-2022</t>
  </si>
  <si>
    <t>Dividend Payable 10-JAN-2022</t>
  </si>
  <si>
    <t>Dividend Payable 11-JAN-2022</t>
  </si>
  <si>
    <t>Dividend Payable 12-JAN-2022</t>
  </si>
  <si>
    <t>Dividend Payable 13-JAN-2022</t>
  </si>
  <si>
    <t>Dividend Payable 14-JAN-2022</t>
  </si>
  <si>
    <t>Dividend Payable 15-JAN-2022</t>
  </si>
  <si>
    <t>Dividend Payable 16-JAN-2022</t>
  </si>
  <si>
    <t>Dividend Payable 17-JAN-2022</t>
  </si>
  <si>
    <t>Dividend Payable 18-JAN-2022</t>
  </si>
  <si>
    <t>Dividend Payable 19-JAN-2022</t>
  </si>
  <si>
    <t>Dividend Payable 20-JAN-2022</t>
  </si>
  <si>
    <t>Dividend Payable 21-JAN-2022</t>
  </si>
  <si>
    <t>Dividend Payable 22-JAN-2022</t>
  </si>
  <si>
    <t>Dividend Payable 23-JAN-2022</t>
  </si>
  <si>
    <t>Dividend Payable 24-JAN-2022</t>
  </si>
  <si>
    <t>Dividend Payable 25-JAN-2022</t>
  </si>
  <si>
    <t>Dividend Payable 26-JAN-2022</t>
  </si>
  <si>
    <t>Dividend Payable 27-JAN-2022</t>
  </si>
  <si>
    <t>Dividend Payable 28-JAN-2022</t>
  </si>
  <si>
    <t>Dividend Payable 29-JAN-2022</t>
  </si>
  <si>
    <t>Dividend Payable 30-JAN-2022</t>
  </si>
  <si>
    <t>Dividend Payable 31-JAN-2022</t>
  </si>
  <si>
    <t>Dividend Payable 01-FEB-2022</t>
  </si>
  <si>
    <t>Dividend Payable 02-FEB-2022</t>
  </si>
  <si>
    <t>Dividend Payable 03-FEB-2022</t>
  </si>
  <si>
    <t>Dividend Payable 04-FEB-2022</t>
  </si>
  <si>
    <t>Dividend Payable 05-FEB-2022</t>
  </si>
  <si>
    <t>Dividend Payable 06-FEB-2022</t>
  </si>
  <si>
    <t>Dividend Payable 07-FEB-2022</t>
  </si>
  <si>
    <t>Dividend Payable 08-FEB-2022</t>
  </si>
  <si>
    <t>Dividend Payable 09-FEB-2022</t>
  </si>
  <si>
    <t>Dividend Payable 10-FEB-2022</t>
  </si>
  <si>
    <t>Dividend Payable 11-FEB-2022</t>
  </si>
  <si>
    <t>Dividend Payable 12-FEB-2022</t>
  </si>
  <si>
    <t>Dividend Payable 13-FEB-2022</t>
  </si>
  <si>
    <t>Dividend Payable 14-FEB-2022</t>
  </si>
  <si>
    <t>Dividend Payable 15-FEB-2022</t>
  </si>
  <si>
    <t>Dividend Payable 16-FEB-2022</t>
  </si>
  <si>
    <t>Dividend Payable 17-FEB-2022</t>
  </si>
  <si>
    <t>Dividend Payable 18-FEB-2022</t>
  </si>
  <si>
    <t>Dividend Payable 19-FEB-2022</t>
  </si>
  <si>
    <t>Dividend Payable 20-FEB-2022</t>
  </si>
  <si>
    <t>Dividend Payable 21-FEB-2022</t>
  </si>
  <si>
    <t>Dividend Payable 22-FEB-2022</t>
  </si>
  <si>
    <t>Dividend Payable 23-FEB-2022</t>
  </si>
  <si>
    <t>Dividend Payable 24-FEB-2022</t>
  </si>
  <si>
    <t>Dividend Payable 25-FEB-2022</t>
  </si>
  <si>
    <t>Dividend Payable 26-FEB-2022</t>
  </si>
  <si>
    <t>Dividend Payable 27-FEB-2022</t>
  </si>
  <si>
    <t>Dividend Payable 28-FEB-2022</t>
  </si>
  <si>
    <t>Dividend Payable 01-MAR-2022</t>
  </si>
  <si>
    <t>Dividend Payable 02-MAR-2022</t>
  </si>
  <si>
    <t>Dividend Payable 03-MAR-2022</t>
  </si>
  <si>
    <t>Dividend Payable 04-MAR-2022</t>
  </si>
  <si>
    <t>Dividend Payable 05-MAR-2022</t>
  </si>
  <si>
    <t>Dividend Payable 06-MAR-2022</t>
  </si>
  <si>
    <t>Dividend @ 0.0127</t>
  </si>
  <si>
    <t>Dividend Payable 09-MAR-2022</t>
  </si>
  <si>
    <t>Dividend Payable 10-MAR-2022</t>
  </si>
  <si>
    <t>Dividend Payable 11-MAR-2022</t>
  </si>
  <si>
    <t>Dividend Payable 12-MAR-2022</t>
  </si>
  <si>
    <t>Dividend Payable 13-MAR-2022</t>
  </si>
  <si>
    <t>Dividend Payable 14-MAR-2022</t>
  </si>
  <si>
    <t>Dividend Payable 15-MAR-2022</t>
  </si>
  <si>
    <t>-------------------------------------March 31, 2021-------------------------------------</t>
  </si>
  <si>
    <t xml:space="preserve">-------------------------------------March 31, 2022------------------------------------
</t>
  </si>
  <si>
    <t xml:space="preserve">-------------------------------------March 31, 2022-----------------------------------
</t>
  </si>
  <si>
    <t>------------------------------------------ (Unaudited)---------------------------------</t>
  </si>
  <si>
    <t>------------------------------------------ (Unaudited)----------------------------------</t>
  </si>
  <si>
    <t xml:space="preserve">Issuance of 770,270,977 ( March 31, 2021: 112,254,051 ) units </t>
  </si>
  <si>
    <t>Redemption of 528,334,784 (March 31, 2021: 132,390,282) units</t>
  </si>
  <si>
    <t>Pakistan Cash Management Fund (the Fund) was established under a Trust Deed executed between Arif Habib Investments Limited (now MCB-Arif Habib Savings and Investments Limited) as the Management Company and Habib Metropolitan Bank Limited as Trustee on February 08, 2008. Subsequently, Digital Custodian Company Limited has been appointed as the trustee of the fund with effect from July 21, 2014. The draft Trust Deed was approved by the Securities and Exchange Commission of Pakistan (SECP) vide its letter dated February 01, 2008 consequent to which the Trust Deed was executed on February 08, 2008.</t>
  </si>
  <si>
    <t>These includes balances with related party of Rs. 5.134 million (June 30, 2021: Rs. 2.747 million) maintained with MCB Bank Limited.</t>
  </si>
  <si>
    <t>There is no change in the status of the appeal filed by the Federal Board of Revenue in the Honorable Supreme Court of Pakistan in respect of levy of Federal Excise Duty as reported in the annual financial statements of the Fund for the year ended June 30, 2021. Had the said provision for FED not been recorded in the condensed interim financial information of the Fund, the net asset value of the Fund as at March 31, 2022 would have been higher by Re. 0.04 per unit (June 30, 2021: Re. 0.19 per unit).</t>
  </si>
  <si>
    <t xml:space="preserve">The annualised total expense ratio (TER) of the Fund based on the current period results is 0.37% (March 31, 2021: 0.45%) which includes 0.09% (March 31, 2021: 0.17% ) representing Government Levy, Sindh Worker’s Welfare Fund and the SECP Fee. </t>
  </si>
  <si>
    <t>During the year ended June 30, 2021, the Trust Act, 1882 was repealed due to the promulgation of Provincial Trust Act namely “Sindh Trusts Act, 2020” (the Sindh Trust Act) as empowered under the Eighteenth Amendment to the Constitution of Pakistan. The Fund is required to be registered under the Sindh Trust Act. Accordingly, on August 13, 2021 the above-mentioned Trust Deed has been registered under the Sindh Trust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</si>
</sst>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1" formatCode="_(* #,##0_);_(* \(#,##0\);_(* &quot;-&quot;_);_(@_)"/>
    <numFmt numFmtId="43" formatCode="_(* #,##0.00_);_(* \(#,##0.00\);_(* &quot;-&quot;??_);_(@_)"/>
    <numFmt numFmtId="164" formatCode="_-* #,##0.00_-;\-* #,##0.00_-;_-* &quot;-&quot;??_-;_-@_-"/>
    <numFmt numFmtId="165" formatCode="_(* #,##0.00_);_(* \(#,##0.00\);_(* &quot;-&quot;_);_(@_)"/>
    <numFmt numFmtId="166" formatCode="_(* #,##0_);_(* \(#,##0\);_(* &quot;-&quot;??_);_(@_)"/>
    <numFmt numFmtId="167" formatCode="_(* #,##0.0000_);_(* \(#,##0.0000\);_(* &quot;-&quot;_);_(@_)"/>
    <numFmt numFmtId="168" formatCode="_(* #,##0.000_);_(* \(#,##0.000\);_(* &quot;-&quot;??_);_(@_)"/>
    <numFmt numFmtId="169" formatCode="_([$€-2]* #,##0.00_);_([$€-2]* \(#,##0.00\);_([$€-2]* &quot;-&quot;??_)"/>
    <numFmt numFmtId="170" formatCode="_(* #,##0.0000_);_(* \(#,##0.0000\);_(* &quot;-&quot;??_);_(@_)"/>
    <numFmt numFmtId="171" formatCode="_(* #,##0.0_);_(* \(#,##0.0\);_(* &quot;-&quot;??_);_(@_)"/>
    <numFmt numFmtId="172" formatCode="."/>
    <numFmt numFmtId="173" formatCode="#,##0.0_);\(#,##0.0\)"/>
    <numFmt numFmtId="174" formatCode="0.0"/>
    <numFmt numFmtId="175" formatCode="0."/>
    <numFmt numFmtId="176" formatCode="#,##0_);\(#,##0\);_(* &quot;-&quot;??_);_(@_)"/>
    <numFmt numFmtId="177" formatCode="m/d/yyyy;@"/>
    <numFmt numFmtId="178" formatCode="[$-409]d\-mmm\-yy;@"/>
    <numFmt numFmtId="179" formatCode="0.0000"/>
    <numFmt numFmtId="180" formatCode="[$-409]d\-mmm\-yyyy;@"/>
    <numFmt numFmtId="181" formatCode="_([$€]* #,##0.00_);_([$€]* \(#,##0.00\);_([$€]* &quot;-&quot;??_);_(@_)"/>
    <numFmt numFmtId="182" formatCode="_-* #,##0_-;\-* #,##0_-;_-* &quot;-&quot;??_-;_-@_-"/>
    <numFmt numFmtId="183" formatCode="0E+00"/>
    <numFmt numFmtId="184" formatCode="[$-409]mmmm\ d\,\ yyyy;@"/>
  </numFmts>
  <fonts count="65" x14ac:knownFonts="1">
    <font>
      <sz val="12"/>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9"/>
      <name val="Arial"/>
      <family val="2"/>
    </font>
    <font>
      <sz val="10"/>
      <name val="Arial"/>
      <family val="2"/>
    </font>
    <font>
      <sz val="9"/>
      <color rgb="FFFF0000"/>
      <name val="Arial"/>
      <family val="2"/>
    </font>
    <font>
      <b/>
      <sz val="9"/>
      <name val="Arial"/>
      <family val="2"/>
    </font>
    <font>
      <sz val="8"/>
      <name val="Arial"/>
      <family val="2"/>
    </font>
    <font>
      <b/>
      <sz val="8"/>
      <name val="Arial"/>
      <family val="2"/>
    </font>
    <font>
      <b/>
      <sz val="8"/>
      <color theme="1"/>
      <name val="Arial"/>
      <family val="2"/>
    </font>
    <font>
      <i/>
      <sz val="8"/>
      <color indexed="8"/>
      <name val="Arial"/>
      <family val="2"/>
    </font>
    <font>
      <sz val="8"/>
      <color indexed="8"/>
      <name val="Arial"/>
      <family val="2"/>
    </font>
    <font>
      <i/>
      <sz val="8"/>
      <name val="Arial"/>
      <family val="2"/>
    </font>
    <font>
      <b/>
      <sz val="8"/>
      <color indexed="8"/>
      <name val="Arial"/>
      <family val="2"/>
    </font>
    <font>
      <b/>
      <u/>
      <sz val="9"/>
      <name val="Arial"/>
      <family val="2"/>
    </font>
    <font>
      <sz val="9"/>
      <color indexed="8"/>
      <name val="Arial"/>
      <family val="2"/>
    </font>
    <font>
      <b/>
      <sz val="9"/>
      <color theme="1"/>
      <name val="Arial"/>
      <family val="2"/>
    </font>
    <font>
      <i/>
      <sz val="9"/>
      <name val="Arial"/>
      <family val="2"/>
    </font>
    <font>
      <sz val="9"/>
      <color theme="1"/>
      <name val="Arial"/>
      <family val="2"/>
    </font>
    <font>
      <b/>
      <u/>
      <sz val="8"/>
      <name val="Arial"/>
      <family val="2"/>
    </font>
    <font>
      <sz val="8"/>
      <color indexed="8"/>
      <name val="Arial Narrow"/>
      <family val="2"/>
    </font>
    <font>
      <b/>
      <sz val="8"/>
      <name val="Arial Narrow"/>
      <family val="2"/>
    </font>
    <font>
      <sz val="8"/>
      <name val="Arial Narrow"/>
      <family val="2"/>
    </font>
    <font>
      <sz val="8"/>
      <name val="Times New Roman"/>
      <family val="1"/>
    </font>
    <font>
      <sz val="9"/>
      <name val="Georgia"/>
      <family val="1"/>
    </font>
    <font>
      <b/>
      <sz val="9"/>
      <name val="Georgia"/>
      <family val="1"/>
    </font>
    <font>
      <b/>
      <sz val="9"/>
      <color theme="0"/>
      <name val="Georgia"/>
      <family val="1"/>
    </font>
    <font>
      <sz val="8"/>
      <color rgb="FFFF0000"/>
      <name val="Arial"/>
      <family val="2"/>
    </font>
    <font>
      <b/>
      <sz val="8"/>
      <color rgb="FFFF0000"/>
      <name val="Arial"/>
      <family val="2"/>
    </font>
    <font>
      <sz val="9"/>
      <color rgb="FF000000"/>
      <name val="Arial"/>
      <family val="2"/>
    </font>
    <font>
      <sz val="8"/>
      <color theme="1"/>
      <name val="Arial"/>
      <family val="2"/>
    </font>
    <font>
      <b/>
      <sz val="12"/>
      <color theme="1"/>
      <name val="Times New Roman"/>
      <family val="1"/>
    </font>
    <font>
      <b/>
      <sz val="12"/>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libri Light"/>
      <family val="2"/>
      <scheme val="major"/>
    </font>
    <font>
      <sz val="9"/>
      <name val="Arial Narrow"/>
      <family val="2"/>
    </font>
    <font>
      <b/>
      <sz val="9"/>
      <name val="Arial Narrow"/>
      <family val="2"/>
    </font>
    <font>
      <b/>
      <sz val="9"/>
      <color theme="1"/>
      <name val="Arial Narrow"/>
      <family val="2"/>
    </font>
    <font>
      <sz val="7.5"/>
      <name val="Arial"/>
      <family val="2"/>
    </font>
    <font>
      <sz val="11"/>
      <color theme="1"/>
      <name val="Arial"/>
      <family val="2"/>
    </font>
    <font>
      <sz val="10"/>
      <color theme="1"/>
      <name val="Arial"/>
      <family val="2"/>
    </font>
    <font>
      <sz val="12"/>
      <color theme="1"/>
      <name val="Times New Roman"/>
      <family val="1"/>
    </font>
    <font>
      <sz val="11"/>
      <color rgb="FF000000"/>
      <name val="Calibri"/>
      <family val="2"/>
    </font>
    <font>
      <sz val="10"/>
      <name val="Arial Narrow"/>
      <family val="2"/>
    </font>
    <font>
      <sz val="9"/>
      <color indexed="81"/>
      <name val="Tahoma"/>
      <charset val="1"/>
    </font>
    <font>
      <b/>
      <sz val="9"/>
      <color indexed="81"/>
      <name val="Tahoma"/>
      <charset val="1"/>
    </font>
  </fonts>
  <fills count="39">
    <fill>
      <patternFill patternType="none"/>
    </fill>
    <fill>
      <patternFill patternType="gray125"/>
    </fill>
    <fill>
      <patternFill patternType="solid">
        <fgColor rgb="FFFFFF00"/>
        <bgColor indexed="64"/>
      </patternFill>
    </fill>
    <fill>
      <patternFill patternType="solid">
        <fgColor theme="5" tint="-0.249977111117893"/>
        <bgColor indexed="64"/>
      </patternFill>
    </fill>
    <fill>
      <patternFill patternType="solid">
        <fgColor rgb="FFC00000"/>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rgb="FF00B050"/>
        <bgColor indexed="64"/>
      </patternFill>
    </fill>
    <fill>
      <patternFill patternType="solid">
        <fgColor rgb="FFFFC000"/>
        <bgColor indexed="64"/>
      </patternFill>
    </fill>
  </fills>
  <borders count="35">
    <border>
      <left/>
      <right/>
      <top/>
      <bottom/>
      <diagonal/>
    </border>
    <border>
      <left/>
      <right/>
      <top/>
      <bottom style="double">
        <color indexed="64"/>
      </bottom>
      <diagonal/>
    </border>
    <border>
      <left/>
      <right/>
      <top style="thin">
        <color indexed="64"/>
      </top>
      <bottom style="double">
        <color indexed="64"/>
      </bottom>
      <diagonal/>
    </border>
    <border>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s>
  <cellStyleXfs count="101">
    <xf numFmtId="0" fontId="0" fillId="0" borderId="0"/>
    <xf numFmtId="43" fontId="9" fillId="0" borderId="0" applyFont="0" applyFill="0" applyBorder="0" applyAlignment="0" applyProtection="0"/>
    <xf numFmtId="9" fontId="7" fillId="0" borderId="0" applyFont="0" applyFill="0" applyBorder="0" applyAlignment="0" applyProtection="0"/>
    <xf numFmtId="0" fontId="9" fillId="0" borderId="0"/>
    <xf numFmtId="0" fontId="9" fillId="0" borderId="0"/>
    <xf numFmtId="0" fontId="7" fillId="0" borderId="0">
      <alignment vertical="top"/>
    </xf>
    <xf numFmtId="0" fontId="7" fillId="0" borderId="0"/>
    <xf numFmtId="0" fontId="9" fillId="0" borderId="0"/>
    <xf numFmtId="0" fontId="6" fillId="0" borderId="0"/>
    <xf numFmtId="0" fontId="7" fillId="0" borderId="0"/>
    <xf numFmtId="43" fontId="9" fillId="0" borderId="0" applyFont="0" applyFill="0" applyBorder="0" applyAlignment="0" applyProtection="0"/>
    <xf numFmtId="0" fontId="5" fillId="0" borderId="0"/>
    <xf numFmtId="0" fontId="38" fillId="0" borderId="25" applyNumberFormat="0" applyFill="0" applyAlignment="0" applyProtection="0"/>
    <xf numFmtId="0" fontId="39" fillId="0" borderId="26" applyNumberFormat="0" applyFill="0" applyAlignment="0" applyProtection="0"/>
    <xf numFmtId="0" fontId="40" fillId="0" borderId="27" applyNumberFormat="0" applyFill="0" applyAlignment="0" applyProtection="0"/>
    <xf numFmtId="0" fontId="40" fillId="0" borderId="0" applyNumberFormat="0" applyFill="0" applyBorder="0" applyAlignment="0" applyProtection="0"/>
    <xf numFmtId="0" fontId="41" fillId="6" borderId="0" applyNumberFormat="0" applyBorder="0" applyAlignment="0" applyProtection="0"/>
    <xf numFmtId="0" fontId="42" fillId="7" borderId="0" applyNumberFormat="0" applyBorder="0" applyAlignment="0" applyProtection="0"/>
    <xf numFmtId="0" fontId="43" fillId="9" borderId="28" applyNumberFormat="0" applyAlignment="0" applyProtection="0"/>
    <xf numFmtId="0" fontId="44" fillId="10" borderId="29" applyNumberFormat="0" applyAlignment="0" applyProtection="0"/>
    <xf numFmtId="0" fontId="45" fillId="10" borderId="28" applyNumberFormat="0" applyAlignment="0" applyProtection="0"/>
    <xf numFmtId="0" fontId="46" fillId="0" borderId="30" applyNumberFormat="0" applyFill="0" applyAlignment="0" applyProtection="0"/>
    <xf numFmtId="0" fontId="47" fillId="11" borderId="31"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32" applyNumberFormat="0" applyFill="0" applyAlignment="0" applyProtection="0"/>
    <xf numFmtId="0" fontId="5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5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5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5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9" fillId="0" borderId="0"/>
    <xf numFmtId="0" fontId="9" fillId="0" borderId="0"/>
    <xf numFmtId="0" fontId="52" fillId="8" borderId="0" applyNumberFormat="0" applyBorder="0" applyAlignment="0" applyProtection="0"/>
    <xf numFmtId="0" fontId="51" fillId="15" borderId="0" applyNumberFormat="0" applyBorder="0" applyAlignment="0" applyProtection="0"/>
    <xf numFmtId="0" fontId="51" fillId="19" borderId="0" applyNumberFormat="0" applyBorder="0" applyAlignment="0" applyProtection="0"/>
    <xf numFmtId="0" fontId="51" fillId="23" borderId="0" applyNumberFormat="0" applyBorder="0" applyAlignment="0" applyProtection="0"/>
    <xf numFmtId="0" fontId="51" fillId="27" borderId="0" applyNumberFormat="0" applyBorder="0" applyAlignment="0" applyProtection="0"/>
    <xf numFmtId="0" fontId="51" fillId="31" borderId="0" applyNumberFormat="0" applyBorder="0" applyAlignment="0" applyProtection="0"/>
    <xf numFmtId="0" fontId="51" fillId="35" borderId="0" applyNumberFormat="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53" fillId="0" borderId="0" applyNumberFormat="0" applyFill="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 fillId="0" borderId="0"/>
    <xf numFmtId="180" fontId="7" fillId="0" borderId="0"/>
    <xf numFmtId="181" fontId="9" fillId="0" borderId="0"/>
    <xf numFmtId="0" fontId="3" fillId="0" borderId="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9" fillId="0" borderId="0"/>
    <xf numFmtId="43" fontId="58" fillId="0" borderId="0" applyFont="0" applyFill="0" applyBorder="0" applyAlignment="0" applyProtection="0"/>
    <xf numFmtId="43" fontId="3" fillId="0" borderId="0" applyFont="0" applyFill="0" applyBorder="0" applyAlignment="0" applyProtection="0"/>
    <xf numFmtId="43" fontId="59" fillId="0" borderId="0" applyFont="0" applyFill="0" applyBorder="0" applyAlignment="0" applyProtection="0"/>
    <xf numFmtId="0" fontId="3" fillId="0" borderId="0"/>
    <xf numFmtId="0" fontId="3" fillId="0" borderId="0"/>
    <xf numFmtId="43" fontId="9" fillId="0" borderId="0" applyFont="0" applyFill="0" applyBorder="0" applyAlignment="0" applyProtection="0"/>
    <xf numFmtId="0" fontId="7" fillId="0" borderId="0">
      <alignment vertical="top"/>
      <protection locked="0"/>
    </xf>
    <xf numFmtId="0" fontId="7" fillId="0" borderId="0">
      <alignment vertical="top"/>
      <protection locked="0"/>
    </xf>
    <xf numFmtId="0" fontId="7" fillId="0" borderId="0">
      <alignment vertical="top"/>
      <protection locked="0"/>
    </xf>
    <xf numFmtId="0" fontId="60" fillId="0" borderId="0"/>
    <xf numFmtId="43" fontId="9" fillId="0" borderId="0" applyFont="0" applyFill="0" applyBorder="0" applyAlignment="0" applyProtection="0"/>
    <xf numFmtId="0" fontId="7" fillId="0" borderId="0"/>
    <xf numFmtId="169" fontId="7" fillId="0" borderId="0"/>
    <xf numFmtId="0" fontId="7" fillId="0" borderId="0"/>
    <xf numFmtId="43" fontId="2" fillId="0" borderId="0" applyFont="0" applyFill="0" applyBorder="0" applyAlignment="0" applyProtection="0"/>
    <xf numFmtId="0" fontId="1" fillId="0" borderId="0"/>
  </cellStyleXfs>
  <cellXfs count="827">
    <xf numFmtId="0" fontId="0" fillId="0" borderId="0" xfId="0"/>
    <xf numFmtId="0" fontId="8" fillId="0" borderId="0" xfId="0" applyFont="1" applyFill="1" applyAlignment="1">
      <alignment vertical="top"/>
    </xf>
    <xf numFmtId="165" fontId="8" fillId="0" borderId="0" xfId="0" applyNumberFormat="1" applyFont="1" applyFill="1" applyAlignment="1">
      <alignment vertical="top"/>
    </xf>
    <xf numFmtId="41" fontId="8" fillId="0" borderId="0" xfId="0" applyNumberFormat="1" applyFont="1" applyFill="1" applyAlignment="1">
      <alignment vertical="top"/>
    </xf>
    <xf numFmtId="166" fontId="8" fillId="0" borderId="0" xfId="0" applyNumberFormat="1" applyFont="1" applyFill="1" applyAlignment="1">
      <alignment vertical="top"/>
    </xf>
    <xf numFmtId="166" fontId="8" fillId="0" borderId="0" xfId="1" applyNumberFormat="1" applyFont="1" applyFill="1" applyAlignment="1">
      <alignment vertical="top"/>
    </xf>
    <xf numFmtId="0" fontId="11" fillId="0" borderId="0" xfId="0" applyFont="1" applyFill="1" applyAlignment="1">
      <alignment horizontal="center" vertical="top"/>
    </xf>
    <xf numFmtId="0" fontId="8" fillId="0" borderId="0" xfId="0" applyFont="1" applyFill="1" applyBorder="1" applyProtection="1">
      <protection locked="0"/>
    </xf>
    <xf numFmtId="0" fontId="11" fillId="0" borderId="0" xfId="0" applyFont="1" applyFill="1" applyAlignment="1" applyProtection="1">
      <alignment horizontal="center" vertical="top"/>
      <protection locked="0"/>
    </xf>
    <xf numFmtId="0" fontId="11" fillId="0" borderId="0" xfId="0" applyFont="1" applyFill="1" applyAlignment="1" applyProtection="1">
      <alignment horizontal="center"/>
      <protection locked="0"/>
    </xf>
    <xf numFmtId="0" fontId="11" fillId="0" borderId="0" xfId="0" applyFont="1" applyFill="1"/>
    <xf numFmtId="0" fontId="8" fillId="0" borderId="0" xfId="0" applyFont="1" applyFill="1" applyAlignment="1" applyProtection="1">
      <alignment horizontal="center" vertical="top"/>
      <protection locked="0"/>
    </xf>
    <xf numFmtId="0" fontId="11" fillId="0" borderId="0" xfId="0" applyFont="1" applyFill="1" applyAlignment="1">
      <alignment vertical="center"/>
    </xf>
    <xf numFmtId="166" fontId="8" fillId="0" borderId="0" xfId="0" applyNumberFormat="1" applyFont="1" applyFill="1"/>
    <xf numFmtId="0" fontId="11" fillId="0" borderId="0" xfId="0" applyNumberFormat="1" applyFont="1" applyFill="1" applyAlignment="1" applyProtection="1">
      <alignment horizontal="center"/>
      <protection locked="0"/>
    </xf>
    <xf numFmtId="0" fontId="8" fillId="0" borderId="0" xfId="0" applyFont="1" applyFill="1" applyProtection="1">
      <protection locked="0"/>
    </xf>
    <xf numFmtId="0" fontId="11" fillId="0" borderId="0" xfId="0" applyFont="1" applyFill="1" applyBorder="1" applyAlignment="1" applyProtection="1">
      <alignment horizontal="center"/>
      <protection locked="0"/>
    </xf>
    <xf numFmtId="0" fontId="11" fillId="0" borderId="0" xfId="0" applyFont="1" applyFill="1" applyBorder="1" applyAlignment="1" applyProtection="1">
      <protection locked="0"/>
    </xf>
    <xf numFmtId="167" fontId="8" fillId="0" borderId="1" xfId="0" applyNumberFormat="1" applyFont="1" applyFill="1" applyBorder="1" applyAlignment="1">
      <alignment vertical="top"/>
    </xf>
    <xf numFmtId="0" fontId="8" fillId="0" borderId="0" xfId="0" quotePrefix="1" applyFont="1" applyFill="1" applyAlignment="1">
      <alignment horizontal="center" vertical="top"/>
    </xf>
    <xf numFmtId="0" fontId="11" fillId="0" borderId="0" xfId="0" applyFont="1" applyFill="1" applyAlignment="1">
      <alignment vertical="top"/>
    </xf>
    <xf numFmtId="168" fontId="8" fillId="0" borderId="0" xfId="0" applyNumberFormat="1" applyFont="1" applyFill="1" applyAlignment="1">
      <alignment vertical="top"/>
    </xf>
    <xf numFmtId="41" fontId="8" fillId="0" borderId="1" xfId="0" applyNumberFormat="1" applyFont="1" applyFill="1" applyBorder="1" applyAlignment="1">
      <alignment vertical="top"/>
    </xf>
    <xf numFmtId="166" fontId="8" fillId="0" borderId="1" xfId="1" applyNumberFormat="1" applyFont="1" applyFill="1" applyBorder="1" applyAlignment="1">
      <alignment vertical="top"/>
    </xf>
    <xf numFmtId="0" fontId="8" fillId="0" borderId="0" xfId="0" applyFont="1" applyFill="1" applyAlignment="1">
      <alignment horizontal="center" vertical="top"/>
    </xf>
    <xf numFmtId="41" fontId="8" fillId="0" borderId="2" xfId="0" applyNumberFormat="1" applyFont="1" applyFill="1" applyBorder="1" applyAlignment="1">
      <alignment vertical="top"/>
    </xf>
    <xf numFmtId="0" fontId="11" fillId="0" borderId="0" xfId="0" applyFont="1" applyFill="1" applyAlignment="1"/>
    <xf numFmtId="41" fontId="8" fillId="0" borderId="3" xfId="0" applyNumberFormat="1" applyFont="1" applyFill="1" applyBorder="1" applyAlignment="1">
      <alignment vertical="top"/>
    </xf>
    <xf numFmtId="41" fontId="8" fillId="0" borderId="4" xfId="0" applyNumberFormat="1" applyFont="1" applyFill="1" applyBorder="1" applyAlignment="1">
      <alignment vertical="top"/>
    </xf>
    <xf numFmtId="0" fontId="8" fillId="0" borderId="0" xfId="0" applyNumberFormat="1" applyFont="1" applyFill="1" applyAlignment="1" applyProtection="1">
      <alignment horizontal="left" vertical="top"/>
    </xf>
    <xf numFmtId="0" fontId="10" fillId="0" borderId="0" xfId="0" applyFont="1" applyFill="1" applyAlignment="1">
      <alignment vertical="top"/>
    </xf>
    <xf numFmtId="0" fontId="8" fillId="0" borderId="0" xfId="0" applyFont="1" applyFill="1" applyAlignment="1">
      <alignment horizontal="left" vertical="top" indent="1"/>
    </xf>
    <xf numFmtId="41" fontId="8" fillId="0" borderId="5" xfId="0" applyNumberFormat="1" applyFont="1" applyFill="1" applyBorder="1" applyAlignment="1">
      <alignment vertical="top"/>
    </xf>
    <xf numFmtId="0" fontId="8" fillId="0" borderId="0" xfId="0" applyFont="1" applyFill="1" applyAlignment="1" applyProtection="1">
      <alignment horizontal="left"/>
      <protection locked="0"/>
    </xf>
    <xf numFmtId="41" fontId="8" fillId="0" borderId="0" xfId="0" applyNumberFormat="1" applyFont="1" applyFill="1" applyBorder="1" applyAlignment="1">
      <alignment vertical="top"/>
    </xf>
    <xf numFmtId="41" fontId="8" fillId="0" borderId="6" xfId="0" applyNumberFormat="1" applyFont="1" applyFill="1" applyBorder="1" applyAlignment="1">
      <alignment vertical="top"/>
    </xf>
    <xf numFmtId="166" fontId="8" fillId="0" borderId="3" xfId="1" applyNumberFormat="1" applyFont="1" applyFill="1" applyBorder="1" applyAlignment="1">
      <alignment vertical="top"/>
    </xf>
    <xf numFmtId="169" fontId="11" fillId="0" borderId="0" xfId="0" quotePrefix="1" applyNumberFormat="1" applyFont="1" applyFill="1" applyAlignment="1">
      <alignment horizontal="center" vertical="center" wrapText="1"/>
    </xf>
    <xf numFmtId="0" fontId="11" fillId="0" borderId="0" xfId="0" applyFont="1" applyFill="1" applyAlignment="1"/>
    <xf numFmtId="169" fontId="8" fillId="0" borderId="0" xfId="0" applyNumberFormat="1" applyFont="1" applyFill="1" applyAlignment="1"/>
    <xf numFmtId="0" fontId="11" fillId="0" borderId="0" xfId="0" quotePrefix="1" applyNumberFormat="1" applyFont="1" applyFill="1" applyAlignment="1">
      <alignment horizontal="center" vertical="top"/>
    </xf>
    <xf numFmtId="37" fontId="11" fillId="0" borderId="0" xfId="0" applyNumberFormat="1" applyFont="1" applyFill="1" applyAlignment="1" applyProtection="1">
      <alignment horizontal="center"/>
    </xf>
    <xf numFmtId="166" fontId="11" fillId="0" borderId="0" xfId="0" applyNumberFormat="1" applyFont="1" applyFill="1" applyAlignment="1" applyProtection="1">
      <alignment horizontal="center"/>
    </xf>
    <xf numFmtId="0" fontId="11" fillId="0" borderId="0" xfId="0" applyNumberFormat="1" applyFont="1" applyFill="1" applyAlignment="1" applyProtection="1">
      <alignment horizontal="left" vertical="top"/>
    </xf>
    <xf numFmtId="0" fontId="11" fillId="0" borderId="0" xfId="0" applyNumberFormat="1" applyFont="1" applyFill="1" applyAlignment="1">
      <alignment horizontal="left" vertical="top"/>
    </xf>
    <xf numFmtId="0" fontId="11" fillId="0" borderId="0" xfId="0" applyFont="1" applyFill="1" applyAlignment="1">
      <alignment horizontal="left" vertical="top"/>
    </xf>
    <xf numFmtId="0" fontId="8" fillId="0" borderId="0" xfId="0" applyFont="1" applyFill="1" applyBorder="1" applyAlignment="1">
      <alignment vertical="top"/>
    </xf>
    <xf numFmtId="166" fontId="8" fillId="0" borderId="0" xfId="1" applyNumberFormat="1" applyFont="1" applyFill="1" applyBorder="1" applyAlignment="1">
      <alignment vertical="top"/>
    </xf>
    <xf numFmtId="0" fontId="8" fillId="0" borderId="0" xfId="0" applyFont="1"/>
    <xf numFmtId="0" fontId="11" fillId="0" borderId="0" xfId="0" applyFont="1"/>
    <xf numFmtId="0" fontId="11" fillId="0" borderId="0" xfId="0" applyFont="1" applyAlignment="1">
      <alignment vertical="center"/>
    </xf>
    <xf numFmtId="0" fontId="12" fillId="0" borderId="0" xfId="0" applyFont="1" applyFill="1" applyBorder="1" applyAlignment="1">
      <alignment vertical="top"/>
    </xf>
    <xf numFmtId="0" fontId="12" fillId="0" borderId="0" xfId="0" applyFont="1"/>
    <xf numFmtId="166" fontId="12" fillId="0" borderId="0" xfId="0" applyNumberFormat="1" applyFont="1" applyFill="1" applyBorder="1" applyAlignment="1" applyProtection="1">
      <alignment horizontal="center" vertical="top"/>
      <protection locked="0"/>
    </xf>
    <xf numFmtId="0" fontId="12" fillId="0" borderId="0" xfId="0" applyFont="1" applyFill="1" applyAlignment="1">
      <alignment vertical="top"/>
    </xf>
    <xf numFmtId="0" fontId="13" fillId="0" borderId="0" xfId="0" applyNumberFormat="1" applyFont="1" applyFill="1" applyBorder="1" applyAlignment="1">
      <alignment vertical="top"/>
    </xf>
    <xf numFmtId="0" fontId="12" fillId="0" borderId="0" xfId="0" applyFont="1" applyFill="1" applyAlignment="1">
      <alignment horizontal="center" vertical="center"/>
    </xf>
    <xf numFmtId="0" fontId="14" fillId="0" borderId="0" xfId="0" applyFont="1" applyFill="1"/>
    <xf numFmtId="0" fontId="12" fillId="0" borderId="0" xfId="0" applyNumberFormat="1" applyFont="1" applyFill="1" applyAlignment="1" applyProtection="1">
      <alignment vertical="top"/>
      <protection locked="0"/>
    </xf>
    <xf numFmtId="0" fontId="12" fillId="0" borderId="0" xfId="0" quotePrefix="1" applyNumberFormat="1" applyFont="1" applyFill="1" applyBorder="1" applyAlignment="1" applyProtection="1">
      <alignment horizontal="left" vertical="top" indent="1"/>
    </xf>
    <xf numFmtId="41" fontId="12" fillId="0" borderId="0" xfId="0" applyNumberFormat="1" applyFont="1" applyFill="1" applyAlignment="1">
      <alignment vertical="top"/>
    </xf>
    <xf numFmtId="0" fontId="15" fillId="0" borderId="0" xfId="0" applyNumberFormat="1" applyFont="1" applyFill="1" applyBorder="1" applyAlignment="1" applyProtection="1">
      <alignment horizontal="left"/>
      <protection locked="0"/>
    </xf>
    <xf numFmtId="0" fontId="16" fillId="0" borderId="0" xfId="0" applyNumberFormat="1" applyFont="1" applyFill="1" applyAlignment="1" applyProtection="1">
      <alignment horizontal="left" indent="1"/>
      <protection locked="0"/>
    </xf>
    <xf numFmtId="0" fontId="17" fillId="0" borderId="0" xfId="0" applyFont="1" applyFill="1"/>
    <xf numFmtId="166" fontId="12" fillId="0" borderId="2" xfId="1" applyNumberFormat="1" applyFont="1" applyFill="1" applyBorder="1" applyAlignment="1">
      <alignment vertical="top"/>
    </xf>
    <xf numFmtId="166" fontId="12" fillId="0" borderId="0" xfId="1" applyNumberFormat="1" applyFont="1" applyFill="1" applyBorder="1" applyAlignment="1">
      <alignment vertical="top"/>
    </xf>
    <xf numFmtId="0" fontId="12" fillId="0" borderId="0" xfId="0" quotePrefix="1" applyFont="1" applyFill="1" applyAlignment="1">
      <alignment horizontal="center" vertical="top"/>
    </xf>
    <xf numFmtId="166" fontId="12" fillId="0" borderId="3" xfId="1" applyNumberFormat="1" applyFont="1" applyFill="1" applyBorder="1" applyAlignment="1">
      <alignment vertical="top"/>
    </xf>
    <xf numFmtId="166" fontId="12" fillId="0" borderId="0" xfId="1" applyNumberFormat="1" applyFont="1" applyFill="1" applyAlignment="1">
      <alignment vertical="top"/>
    </xf>
    <xf numFmtId="0" fontId="12" fillId="0" borderId="0" xfId="0" applyFont="1" applyFill="1" applyAlignment="1">
      <alignment horizontal="left" indent="1"/>
    </xf>
    <xf numFmtId="0" fontId="12" fillId="0" borderId="0" xfId="0" applyFont="1" applyFill="1" applyAlignment="1">
      <alignment horizontal="left"/>
    </xf>
    <xf numFmtId="0" fontId="13" fillId="0" borderId="0" xfId="0" applyFont="1" applyFill="1" applyAlignment="1">
      <alignment vertical="top"/>
    </xf>
    <xf numFmtId="0" fontId="12" fillId="0" borderId="0" xfId="0" applyFont="1" applyFill="1" applyAlignment="1"/>
    <xf numFmtId="166" fontId="12" fillId="0" borderId="4" xfId="1" applyNumberFormat="1" applyFont="1" applyFill="1" applyBorder="1" applyAlignment="1">
      <alignment vertical="top"/>
    </xf>
    <xf numFmtId="166" fontId="12" fillId="0" borderId="5" xfId="1" applyNumberFormat="1" applyFont="1" applyFill="1" applyBorder="1" applyAlignment="1">
      <alignment vertical="top"/>
    </xf>
    <xf numFmtId="0" fontId="12" fillId="0" borderId="0" xfId="0" applyNumberFormat="1" applyFont="1" applyFill="1" applyBorder="1" applyAlignment="1">
      <alignment vertical="top"/>
    </xf>
    <xf numFmtId="0" fontId="12" fillId="0" borderId="0" xfId="0" applyFont="1" applyFill="1" applyAlignment="1" applyProtection="1">
      <alignment vertical="top"/>
      <protection locked="0"/>
    </xf>
    <xf numFmtId="37" fontId="12" fillId="0" borderId="0" xfId="0" applyNumberFormat="1" applyFont="1" applyFill="1" applyBorder="1" applyAlignment="1" applyProtection="1">
      <alignment horizontal="left"/>
    </xf>
    <xf numFmtId="37" fontId="12" fillId="0" borderId="0" xfId="0" applyNumberFormat="1" applyFont="1" applyFill="1" applyBorder="1" applyAlignment="1" applyProtection="1"/>
    <xf numFmtId="166" fontId="12" fillId="0" borderId="6" xfId="1" applyNumberFormat="1" applyFont="1" applyFill="1" applyBorder="1" applyAlignment="1">
      <alignment vertical="top"/>
    </xf>
    <xf numFmtId="37" fontId="12" fillId="0" borderId="0" xfId="0" applyNumberFormat="1" applyFont="1" applyFill="1" applyBorder="1" applyAlignment="1" applyProtection="1"/>
    <xf numFmtId="0" fontId="12" fillId="0" borderId="0" xfId="0" applyFont="1" applyFill="1" applyAlignment="1">
      <alignment horizontal="left" vertical="top"/>
    </xf>
    <xf numFmtId="0" fontId="12" fillId="0" borderId="0" xfId="0" applyFont="1" applyFill="1" applyAlignment="1">
      <alignment horizontal="left" vertical="top" indent="1"/>
    </xf>
    <xf numFmtId="169" fontId="18" fillId="0" borderId="0" xfId="0" quotePrefix="1" applyNumberFormat="1" applyFont="1" applyFill="1" applyAlignment="1">
      <alignment horizontal="center" vertical="center" wrapText="1"/>
    </xf>
    <xf numFmtId="0" fontId="13" fillId="0" borderId="0" xfId="0" quotePrefix="1" applyNumberFormat="1" applyFont="1" applyFill="1" applyAlignment="1">
      <alignment horizontal="center" vertical="top"/>
    </xf>
    <xf numFmtId="0" fontId="13" fillId="0" borderId="0" xfId="0" applyFont="1" applyFill="1" applyAlignment="1"/>
    <xf numFmtId="0" fontId="16" fillId="0" borderId="0" xfId="0" applyFont="1" applyFill="1" applyAlignment="1"/>
    <xf numFmtId="37" fontId="11" fillId="0" borderId="0" xfId="0" applyNumberFormat="1" applyFont="1" applyFill="1" applyAlignment="1" applyProtection="1">
      <alignment horizontal="left" vertical="top"/>
    </xf>
    <xf numFmtId="0" fontId="8" fillId="0" borderId="0" xfId="0" applyFont="1"/>
    <xf numFmtId="166" fontId="8" fillId="0" borderId="0" xfId="0" applyNumberFormat="1" applyFont="1" applyFill="1" applyBorder="1" applyAlignment="1" applyProtection="1">
      <alignment horizontal="center" vertical="top"/>
    </xf>
    <xf numFmtId="166" fontId="11" fillId="0" borderId="0" xfId="0" applyNumberFormat="1" applyFont="1" applyFill="1" applyBorder="1" applyAlignment="1">
      <alignment horizontal="center" vertical="top"/>
    </xf>
    <xf numFmtId="166" fontId="11" fillId="0" borderId="0" xfId="0" applyNumberFormat="1" applyFont="1" applyFill="1" applyBorder="1" applyAlignment="1" applyProtection="1">
      <alignment horizontal="center" vertical="top"/>
    </xf>
    <xf numFmtId="37" fontId="8" fillId="0" borderId="0" xfId="0" applyNumberFormat="1" applyFont="1" applyFill="1" applyAlignment="1" applyProtection="1">
      <alignment vertical="top"/>
    </xf>
    <xf numFmtId="0" fontId="8" fillId="0" borderId="0" xfId="0" applyNumberFormat="1" applyFont="1" applyFill="1" applyAlignment="1">
      <alignment vertical="top"/>
    </xf>
    <xf numFmtId="166" fontId="8" fillId="0" borderId="0" xfId="1" applyNumberFormat="1" applyFont="1"/>
    <xf numFmtId="166" fontId="8" fillId="0" borderId="0" xfId="0" applyNumberFormat="1" applyFont="1" applyFill="1" applyBorder="1" applyAlignment="1" applyProtection="1">
      <alignment vertical="top"/>
    </xf>
    <xf numFmtId="166" fontId="11" fillId="0" borderId="0" xfId="0" applyNumberFormat="1" applyFont="1" applyFill="1" applyBorder="1" applyAlignment="1">
      <alignment vertical="top"/>
    </xf>
    <xf numFmtId="166" fontId="11" fillId="0" borderId="0" xfId="0" applyNumberFormat="1" applyFont="1" applyFill="1" applyBorder="1" applyAlignment="1" applyProtection="1">
      <alignment vertical="top"/>
    </xf>
    <xf numFmtId="0" fontId="11" fillId="0" borderId="0" xfId="0" applyNumberFormat="1" applyFont="1" applyFill="1" applyBorder="1" applyAlignment="1">
      <alignment horizontal="left" vertical="top"/>
    </xf>
    <xf numFmtId="166" fontId="8" fillId="0" borderId="2" xfId="0" applyNumberFormat="1" applyFont="1" applyFill="1" applyBorder="1" applyAlignment="1" applyProtection="1">
      <alignment vertical="top"/>
    </xf>
    <xf numFmtId="0" fontId="11" fillId="0" borderId="0" xfId="0" applyNumberFormat="1" applyFont="1" applyFill="1" applyBorder="1" applyAlignment="1">
      <alignment vertical="top"/>
    </xf>
    <xf numFmtId="166" fontId="8" fillId="0" borderId="0" xfId="0" applyNumberFormat="1" applyFont="1" applyFill="1" applyBorder="1" applyAlignment="1">
      <alignment vertical="top"/>
    </xf>
    <xf numFmtId="0" fontId="8" fillId="2" borderId="0" xfId="0" applyFont="1" applyFill="1" applyBorder="1" applyAlignment="1">
      <alignment vertical="top" wrapText="1"/>
    </xf>
    <xf numFmtId="0" fontId="8" fillId="2" borderId="0" xfId="0" quotePrefix="1" applyNumberFormat="1" applyFont="1" applyFill="1" applyBorder="1" applyAlignment="1">
      <alignment horizontal="left" indent="1"/>
    </xf>
    <xf numFmtId="0" fontId="8" fillId="2" borderId="0" xfId="0" applyFont="1" applyFill="1" applyAlignment="1">
      <alignment horizontal="left" indent="1"/>
    </xf>
    <xf numFmtId="0" fontId="8" fillId="2" borderId="0" xfId="0" applyFont="1" applyFill="1" applyAlignment="1">
      <alignment vertical="top" wrapText="1"/>
    </xf>
    <xf numFmtId="0" fontId="8" fillId="2" borderId="0" xfId="0" applyNumberFormat="1" applyFont="1" applyFill="1" applyBorder="1" applyAlignment="1"/>
    <xf numFmtId="0" fontId="8" fillId="2" borderId="0" xfId="0" applyFont="1" applyFill="1"/>
    <xf numFmtId="0" fontId="8" fillId="0" borderId="0" xfId="0" applyFont="1" applyFill="1" applyAlignment="1">
      <alignment vertical="top" wrapText="1"/>
    </xf>
    <xf numFmtId="0" fontId="11" fillId="0" borderId="0" xfId="0" applyFont="1" applyFill="1" applyAlignment="1">
      <alignment horizontal="left" vertical="top"/>
    </xf>
    <xf numFmtId="0" fontId="8" fillId="0" borderId="0" xfId="0" applyFont="1" applyFill="1" applyAlignment="1">
      <alignment vertical="top"/>
    </xf>
    <xf numFmtId="166" fontId="8" fillId="0" borderId="0" xfId="0" applyNumberFormat="1" applyFont="1" applyFill="1" applyAlignment="1">
      <alignment vertical="top"/>
    </xf>
    <xf numFmtId="166" fontId="8" fillId="0" borderId="0" xfId="0" applyNumberFormat="1" applyFont="1" applyFill="1" applyBorder="1" applyAlignment="1">
      <alignment vertical="top"/>
    </xf>
    <xf numFmtId="0" fontId="8" fillId="0" borderId="0" xfId="0" applyFont="1" applyFill="1" applyAlignment="1">
      <alignment horizontal="left" indent="1"/>
    </xf>
    <xf numFmtId="0" fontId="11" fillId="0" borderId="0" xfId="0" applyFont="1" applyFill="1" applyAlignment="1">
      <alignment horizontal="left" indent="2"/>
    </xf>
    <xf numFmtId="166" fontId="8" fillId="0" borderId="0" xfId="0" applyNumberFormat="1" applyFont="1" applyFill="1"/>
    <xf numFmtId="166" fontId="8" fillId="0" borderId="0" xfId="1" applyNumberFormat="1" applyFont="1" applyFill="1"/>
    <xf numFmtId="166" fontId="11" fillId="0" borderId="0" xfId="0" applyNumberFormat="1" applyFont="1" applyFill="1" applyBorder="1" applyAlignment="1">
      <alignment horizontal="center"/>
    </xf>
    <xf numFmtId="166" fontId="8" fillId="0" borderId="0" xfId="0" applyNumberFormat="1" applyFont="1" applyFill="1" applyBorder="1"/>
    <xf numFmtId="0" fontId="8" fillId="0" borderId="0" xfId="0" applyFont="1" applyFill="1" applyAlignment="1"/>
    <xf numFmtId="0" fontId="11" fillId="0" borderId="0" xfId="0" applyFont="1" applyFill="1" applyAlignment="1">
      <alignment horizontal="left" indent="1"/>
    </xf>
    <xf numFmtId="0" fontId="19" fillId="0" borderId="0" xfId="0" applyFont="1" applyFill="1" applyAlignment="1"/>
    <xf numFmtId="166" fontId="8" fillId="0" borderId="0" xfId="0" applyNumberFormat="1" applyFont="1" applyFill="1" applyBorder="1" applyAlignment="1">
      <alignment horizontal="center"/>
    </xf>
    <xf numFmtId="166" fontId="11" fillId="0" borderId="0" xfId="0" applyNumberFormat="1" applyFont="1" applyFill="1" applyBorder="1"/>
    <xf numFmtId="0" fontId="11" fillId="0" borderId="0" xfId="0" applyFont="1" applyFill="1" applyAlignment="1"/>
    <xf numFmtId="0" fontId="8" fillId="0" borderId="0" xfId="0" applyNumberFormat="1" applyFont="1" applyFill="1" applyBorder="1" applyAlignment="1">
      <alignment vertical="top"/>
    </xf>
    <xf numFmtId="37" fontId="8" fillId="0" borderId="0" xfId="0" applyNumberFormat="1" applyFont="1" applyFill="1" applyAlignment="1">
      <alignment vertical="top"/>
    </xf>
    <xf numFmtId="37" fontId="11" fillId="0" borderId="0" xfId="0" applyNumberFormat="1" applyFont="1" applyFill="1" applyAlignment="1">
      <alignment vertical="top"/>
    </xf>
    <xf numFmtId="0" fontId="8" fillId="0" borderId="0" xfId="0" applyNumberFormat="1" applyFont="1" applyFill="1" applyAlignment="1" applyProtection="1">
      <alignment horizontal="center" vertical="top"/>
    </xf>
    <xf numFmtId="0" fontId="11" fillId="0" borderId="0" xfId="0" applyFont="1" applyFill="1" applyBorder="1" applyAlignment="1">
      <alignment horizontal="center" vertical="top"/>
    </xf>
    <xf numFmtId="0" fontId="11" fillId="0" borderId="0" xfId="0" applyNumberFormat="1" applyFont="1" applyFill="1" applyAlignment="1" applyProtection="1">
      <alignment horizontal="center" vertical="top"/>
    </xf>
    <xf numFmtId="0" fontId="11" fillId="0" borderId="0" xfId="0" applyNumberFormat="1" applyFont="1" applyFill="1" applyBorder="1" applyAlignment="1">
      <alignment vertical="top"/>
    </xf>
    <xf numFmtId="0" fontId="8" fillId="0" borderId="0" xfId="0" applyNumberFormat="1" applyFont="1" applyFill="1" applyAlignment="1" applyProtection="1">
      <alignment vertical="top"/>
    </xf>
    <xf numFmtId="0" fontId="8" fillId="0" borderId="0" xfId="0" applyFont="1" applyFill="1" applyAlignment="1">
      <alignment vertical="top"/>
    </xf>
    <xf numFmtId="0" fontId="11" fillId="0" borderId="0" xfId="0" quotePrefix="1" applyNumberFormat="1" applyFont="1" applyFill="1" applyBorder="1" applyAlignment="1" applyProtection="1">
      <alignment horizontal="center" vertical="top"/>
    </xf>
    <xf numFmtId="0" fontId="8" fillId="0" borderId="0" xfId="0" quotePrefix="1" applyNumberFormat="1" applyFont="1" applyFill="1" applyAlignment="1" applyProtection="1">
      <alignment horizontal="center" vertical="top"/>
    </xf>
    <xf numFmtId="0" fontId="11" fillId="0" borderId="0" xfId="0" quotePrefix="1" applyNumberFormat="1" applyFont="1" applyFill="1" applyAlignment="1" applyProtection="1">
      <alignment horizontal="center" vertical="top"/>
    </xf>
    <xf numFmtId="0" fontId="11" fillId="0" borderId="0" xfId="0" applyFont="1" applyFill="1" applyAlignment="1">
      <alignment horizontal="left" vertical="top"/>
    </xf>
    <xf numFmtId="0" fontId="11" fillId="0" borderId="0" xfId="0" applyFont="1" applyAlignment="1">
      <alignment horizontal="left" vertical="top"/>
    </xf>
    <xf numFmtId="0" fontId="8" fillId="0" borderId="0" xfId="0" applyFont="1" applyFill="1" applyAlignment="1">
      <alignment vertical="top"/>
    </xf>
    <xf numFmtId="0" fontId="12" fillId="0" borderId="0" xfId="0" applyFont="1" applyFill="1" applyAlignment="1">
      <alignment vertical="top"/>
    </xf>
    <xf numFmtId="0" fontId="8" fillId="0" borderId="0" xfId="0" applyFont="1" applyFill="1"/>
    <xf numFmtId="166" fontId="8" fillId="0" borderId="0" xfId="1" applyNumberFormat="1" applyFont="1" applyFill="1" applyAlignment="1" applyProtection="1">
      <alignment vertical="top"/>
      <protection locked="0"/>
    </xf>
    <xf numFmtId="43" fontId="8" fillId="0" borderId="0" xfId="0" applyNumberFormat="1" applyFont="1" applyFill="1" applyBorder="1" applyAlignment="1">
      <alignment vertical="top"/>
    </xf>
    <xf numFmtId="0" fontId="8" fillId="0" borderId="0" xfId="0" applyFont="1" applyFill="1" applyAlignment="1">
      <alignment horizontal="left" vertical="top"/>
    </xf>
    <xf numFmtId="0" fontId="12" fillId="0" borderId="0" xfId="0" applyFont="1" applyFill="1"/>
    <xf numFmtId="0" fontId="13" fillId="0" borderId="0" xfId="0" quotePrefix="1" applyFont="1" applyFill="1" applyAlignment="1">
      <alignment vertical="center"/>
    </xf>
    <xf numFmtId="166" fontId="13" fillId="0" borderId="0" xfId="0" applyNumberFormat="1" applyFont="1" applyFill="1" applyBorder="1" applyAlignment="1">
      <alignment horizontal="center" vertical="center" wrapText="1"/>
    </xf>
    <xf numFmtId="0" fontId="13" fillId="0" borderId="0" xfId="0" quotePrefix="1" applyFont="1" applyFill="1" applyBorder="1" applyAlignment="1" applyProtection="1">
      <alignment vertical="top"/>
    </xf>
    <xf numFmtId="0" fontId="8" fillId="0" borderId="0" xfId="0" applyNumberFormat="1" applyFont="1" applyFill="1" applyAlignment="1">
      <alignment vertical="top"/>
    </xf>
    <xf numFmtId="0" fontId="11" fillId="0" borderId="0" xfId="0" applyNumberFormat="1" applyFont="1" applyFill="1" applyAlignment="1">
      <alignment horizontal="center" vertical="top"/>
    </xf>
    <xf numFmtId="0" fontId="11" fillId="0" borderId="0" xfId="0" applyNumberFormat="1" applyFont="1" applyFill="1" applyAlignment="1">
      <alignment horizontal="left" vertical="top"/>
    </xf>
    <xf numFmtId="37" fontId="11" fillId="0" borderId="0" xfId="0" applyNumberFormat="1" applyFont="1" applyFill="1" applyAlignment="1">
      <alignment horizontal="left" vertical="top"/>
    </xf>
    <xf numFmtId="0" fontId="8" fillId="0" borderId="0" xfId="0" applyNumberFormat="1" applyFont="1" applyFill="1" applyAlignment="1">
      <alignment vertical="top"/>
    </xf>
    <xf numFmtId="166" fontId="8" fillId="0" borderId="0" xfId="0" applyNumberFormat="1" applyFont="1" applyFill="1" applyBorder="1" applyAlignment="1">
      <alignment vertical="top"/>
    </xf>
    <xf numFmtId="166" fontId="8" fillId="0" borderId="0" xfId="0" applyNumberFormat="1" applyFont="1" applyFill="1" applyAlignment="1">
      <alignment vertical="top"/>
    </xf>
    <xf numFmtId="166" fontId="11" fillId="0" borderId="0" xfId="0" applyNumberFormat="1" applyFont="1" applyFill="1" applyAlignment="1">
      <alignment vertical="top"/>
    </xf>
    <xf numFmtId="0" fontId="8" fillId="0" borderId="0" xfId="0" applyNumberFormat="1" applyFont="1" applyFill="1" applyAlignment="1">
      <alignment vertical="top"/>
    </xf>
    <xf numFmtId="0" fontId="11" fillId="0" borderId="0" xfId="0" applyNumberFormat="1" applyFont="1" applyFill="1" applyAlignment="1">
      <alignment vertical="top"/>
    </xf>
    <xf numFmtId="166" fontId="8" fillId="0" borderId="3" xfId="0" applyNumberFormat="1" applyFont="1" applyFill="1" applyBorder="1" applyAlignment="1">
      <alignment vertical="top"/>
    </xf>
    <xf numFmtId="0" fontId="8" fillId="0" borderId="0" xfId="0" applyFont="1" applyFill="1" applyAlignment="1" applyProtection="1">
      <alignment vertical="top"/>
      <protection locked="0"/>
    </xf>
    <xf numFmtId="0" fontId="11" fillId="0" borderId="0" xfId="0" applyFont="1" applyFill="1" applyAlignment="1">
      <alignment horizontal="left"/>
    </xf>
    <xf numFmtId="0" fontId="11" fillId="0" borderId="0" xfId="0" applyFont="1" applyFill="1"/>
    <xf numFmtId="166" fontId="8" fillId="0" borderId="4" xfId="0" applyNumberFormat="1" applyFont="1" applyFill="1" applyBorder="1" applyAlignment="1">
      <alignment horizontal="center" vertical="top"/>
    </xf>
    <xf numFmtId="0" fontId="8" fillId="0" borderId="0" xfId="0" applyFont="1" applyFill="1"/>
    <xf numFmtId="166" fontId="8" fillId="0" borderId="5" xfId="0" applyNumberFormat="1" applyFont="1" applyFill="1" applyBorder="1" applyAlignment="1">
      <alignment vertical="top"/>
    </xf>
    <xf numFmtId="166" fontId="8" fillId="0" borderId="6" xfId="0" applyNumberFormat="1" applyFont="1" applyFill="1" applyBorder="1" applyAlignment="1">
      <alignment vertical="top"/>
    </xf>
    <xf numFmtId="0" fontId="11" fillId="0" borderId="0" xfId="0" applyFont="1" applyFill="1"/>
    <xf numFmtId="166" fontId="8" fillId="0" borderId="4" xfId="0" applyNumberFormat="1" applyFont="1" applyFill="1" applyBorder="1" applyAlignment="1">
      <alignment vertical="top"/>
    </xf>
    <xf numFmtId="0" fontId="8" fillId="0" borderId="0" xfId="0" applyNumberFormat="1" applyFont="1" applyFill="1"/>
    <xf numFmtId="0" fontId="11" fillId="0" borderId="0" xfId="0" applyFont="1" applyFill="1" applyAlignment="1">
      <alignment horizontal="left"/>
    </xf>
    <xf numFmtId="0" fontId="8" fillId="0" borderId="0" xfId="0" quotePrefix="1" applyFont="1" applyFill="1" applyAlignment="1">
      <alignment horizontal="left" vertical="top" indent="1"/>
    </xf>
    <xf numFmtId="0" fontId="8" fillId="0" borderId="0" xfId="0" applyFont="1" applyFill="1" applyAlignment="1">
      <alignment horizontal="left" vertical="top"/>
    </xf>
    <xf numFmtId="0" fontId="8" fillId="0" borderId="0" xfId="0" applyFont="1" applyFill="1"/>
    <xf numFmtId="166" fontId="11" fillId="0" borderId="0" xfId="0" quotePrefix="1" applyNumberFormat="1" applyFont="1" applyFill="1" applyAlignment="1">
      <alignment horizontal="center"/>
    </xf>
    <xf numFmtId="0" fontId="11" fillId="0" borderId="0" xfId="0" quotePrefix="1" applyNumberFormat="1" applyFont="1" applyFill="1" applyAlignment="1">
      <alignment horizontal="center" vertical="center"/>
    </xf>
    <xf numFmtId="15" fontId="11" fillId="0" borderId="0" xfId="0" quotePrefix="1" applyNumberFormat="1" applyFont="1" applyFill="1" applyAlignment="1">
      <alignment vertical="center"/>
    </xf>
    <xf numFmtId="166" fontId="8" fillId="0" borderId="0" xfId="0" applyNumberFormat="1" applyFont="1" applyFill="1" applyAlignment="1">
      <alignment horizontal="center" vertical="top"/>
    </xf>
    <xf numFmtId="166" fontId="11" fillId="0" borderId="0" xfId="0" applyNumberFormat="1" applyFont="1" applyFill="1" applyAlignment="1">
      <alignment horizontal="center" vertical="top"/>
    </xf>
    <xf numFmtId="166" fontId="11" fillId="0" borderId="0" xfId="0" applyNumberFormat="1" applyFont="1" applyFill="1" applyBorder="1" applyAlignment="1">
      <alignment vertical="top"/>
    </xf>
    <xf numFmtId="0" fontId="8" fillId="0" borderId="0" xfId="0" applyNumberFormat="1" applyFont="1" applyFill="1" applyAlignment="1">
      <alignment horizontal="left" vertical="top"/>
    </xf>
    <xf numFmtId="37" fontId="11" fillId="0" borderId="0" xfId="0" applyNumberFormat="1" applyFont="1" applyFill="1" applyAlignment="1">
      <alignment horizontal="left" vertical="top"/>
    </xf>
    <xf numFmtId="0" fontId="8" fillId="0" borderId="0" xfId="0" applyNumberFormat="1" applyFont="1" applyFill="1" applyAlignment="1">
      <alignment horizontal="center" vertical="top"/>
    </xf>
    <xf numFmtId="0" fontId="8" fillId="0" borderId="0" xfId="0" applyNumberFormat="1" applyFont="1" applyFill="1" applyAlignment="1">
      <alignment horizontal="left" vertical="top"/>
    </xf>
    <xf numFmtId="0" fontId="11" fillId="0" borderId="0" xfId="0" applyNumberFormat="1" applyFont="1" applyFill="1" applyAlignment="1">
      <alignment horizontal="left" vertical="top"/>
    </xf>
    <xf numFmtId="0" fontId="8" fillId="0" borderId="0" xfId="0" applyNumberFormat="1" applyFont="1" applyFill="1" applyAlignment="1">
      <alignment horizontal="justify" vertical="top"/>
    </xf>
    <xf numFmtId="0" fontId="11" fillId="0" borderId="0" xfId="0" quotePrefix="1" applyNumberFormat="1" applyFont="1" applyFill="1" applyAlignment="1">
      <alignment horizontal="left" vertical="top"/>
    </xf>
    <xf numFmtId="1" fontId="11" fillId="0" borderId="0" xfId="0" quotePrefix="1" applyNumberFormat="1" applyFont="1" applyFill="1" applyAlignment="1">
      <alignment horizontal="left" vertical="top"/>
    </xf>
    <xf numFmtId="0" fontId="8" fillId="0" borderId="0" xfId="0" applyFont="1" applyFill="1" applyAlignment="1">
      <alignment vertical="top"/>
    </xf>
    <xf numFmtId="0" fontId="11" fillId="0" borderId="0" xfId="0" applyFont="1" applyFill="1" applyAlignment="1">
      <alignment vertical="top"/>
    </xf>
    <xf numFmtId="172" fontId="11" fillId="0" borderId="0" xfId="0" quotePrefix="1" applyNumberFormat="1" applyFont="1" applyFill="1" applyAlignment="1">
      <alignment horizontal="left" vertical="top"/>
    </xf>
    <xf numFmtId="173" fontId="11" fillId="0" borderId="0" xfId="0" quotePrefix="1" applyNumberFormat="1" applyFont="1" applyFill="1" applyAlignment="1">
      <alignment horizontal="left"/>
    </xf>
    <xf numFmtId="0" fontId="8" fillId="0" borderId="0" xfId="0" applyFont="1" applyFill="1" applyAlignment="1">
      <alignment vertical="top"/>
    </xf>
    <xf numFmtId="0" fontId="20" fillId="0" borderId="0" xfId="0" applyFont="1" applyFill="1"/>
    <xf numFmtId="166" fontId="8" fillId="0" borderId="0" xfId="1" applyNumberFormat="1" applyFont="1" applyFill="1" applyBorder="1" applyAlignment="1">
      <alignment horizontal="center" vertical="center" wrapText="1"/>
    </xf>
    <xf numFmtId="166" fontId="11" fillId="0" borderId="0" xfId="1" applyNumberFormat="1" applyFont="1" applyFill="1" applyBorder="1" applyAlignment="1">
      <alignment horizontal="center" vertical="center" wrapText="1"/>
    </xf>
    <xf numFmtId="0" fontId="8" fillId="0" borderId="0" xfId="0" applyNumberFormat="1" applyFont="1" applyFill="1" applyBorder="1" applyAlignment="1" applyProtection="1"/>
    <xf numFmtId="0" fontId="8" fillId="0" borderId="0" xfId="0" applyFont="1" applyFill="1" applyAlignment="1" applyProtection="1">
      <alignment horizontal="justify" vertical="top" wrapText="1"/>
    </xf>
    <xf numFmtId="0" fontId="11" fillId="0" borderId="0" xfId="0" quotePrefix="1" applyFont="1" applyFill="1" applyBorder="1" applyProtection="1"/>
    <xf numFmtId="0" fontId="20" fillId="0" borderId="0" xfId="0" applyNumberFormat="1" applyFont="1" applyFill="1" applyBorder="1" applyAlignment="1" applyProtection="1"/>
    <xf numFmtId="0" fontId="11" fillId="0" borderId="0" xfId="0" applyFont="1" applyFill="1" applyAlignment="1">
      <alignment vertical="top"/>
    </xf>
    <xf numFmtId="174" fontId="11" fillId="0" borderId="0" xfId="0" quotePrefix="1" applyNumberFormat="1" applyFont="1" applyFill="1" applyAlignment="1">
      <alignment horizontal="left"/>
    </xf>
    <xf numFmtId="175" fontId="11" fillId="0" borderId="0" xfId="0" quotePrefix="1" applyNumberFormat="1" applyFont="1" applyFill="1" applyAlignment="1">
      <alignment horizontal="left"/>
    </xf>
    <xf numFmtId="0" fontId="12" fillId="0" borderId="0" xfId="0" applyNumberFormat="1" applyFont="1" applyFill="1" applyBorder="1" applyAlignment="1" applyProtection="1"/>
    <xf numFmtId="166" fontId="8" fillId="0" borderId="0" xfId="0" applyNumberFormat="1" applyFont="1" applyFill="1" applyBorder="1" applyAlignment="1" applyProtection="1"/>
    <xf numFmtId="41" fontId="8" fillId="0" borderId="0" xfId="0" applyNumberFormat="1" applyFont="1" applyFill="1" applyBorder="1" applyAlignment="1" applyProtection="1"/>
    <xf numFmtId="0" fontId="8" fillId="0" borderId="0" xfId="0" applyFont="1" applyFill="1" applyBorder="1"/>
    <xf numFmtId="0" fontId="8" fillId="0" borderId="0" xfId="0" applyFont="1" applyFill="1" applyAlignment="1">
      <alignment vertical="top"/>
    </xf>
    <xf numFmtId="0" fontId="11" fillId="0" borderId="0" xfId="0" applyNumberFormat="1" applyFont="1" applyFill="1" applyAlignment="1">
      <alignment horizontal="left"/>
    </xf>
    <xf numFmtId="166" fontId="8" fillId="0" borderId="0" xfId="0" quotePrefix="1" applyNumberFormat="1" applyFont="1" applyFill="1" applyBorder="1" applyAlignment="1" applyProtection="1"/>
    <xf numFmtId="0" fontId="11" fillId="0" borderId="0" xfId="0" applyFont="1" applyFill="1"/>
    <xf numFmtId="0" fontId="8" fillId="0" borderId="0" xfId="0" applyFont="1" applyFill="1"/>
    <xf numFmtId="0" fontId="11" fillId="0" borderId="0" xfId="0" applyFont="1" applyFill="1"/>
    <xf numFmtId="41" fontId="11" fillId="0" borderId="0" xfId="0" applyNumberFormat="1" applyFont="1" applyFill="1" applyAlignment="1">
      <alignment vertical="top"/>
    </xf>
    <xf numFmtId="41" fontId="8" fillId="0" borderId="0" xfId="0" applyNumberFormat="1" applyFont="1" applyFill="1" applyBorder="1" applyAlignment="1">
      <alignment vertical="top"/>
    </xf>
    <xf numFmtId="0" fontId="21" fillId="0" borderId="0" xfId="0" applyNumberFormat="1" applyFont="1" applyFill="1" applyBorder="1" applyAlignment="1">
      <alignment horizontal="center" vertical="center"/>
    </xf>
    <xf numFmtId="0" fontId="21" fillId="0" borderId="0" xfId="0" applyFont="1" applyFill="1" applyBorder="1" applyAlignment="1">
      <alignment horizontal="center"/>
    </xf>
    <xf numFmtId="37" fontId="11" fillId="0" borderId="0" xfId="0" quotePrefix="1" applyNumberFormat="1" applyFont="1" applyFill="1" applyBorder="1" applyAlignment="1" applyProtection="1">
      <alignment horizontal="center"/>
    </xf>
    <xf numFmtId="0" fontId="22" fillId="0" borderId="0" xfId="0" applyNumberFormat="1" applyFont="1" applyFill="1" applyBorder="1" applyAlignment="1">
      <alignment horizontal="center"/>
    </xf>
    <xf numFmtId="0" fontId="8" fillId="0" borderId="0" xfId="0" applyFont="1" applyFill="1" applyAlignment="1">
      <alignment horizontal="left"/>
    </xf>
    <xf numFmtId="0" fontId="21" fillId="0" borderId="0" xfId="0" applyNumberFormat="1" applyFont="1" applyFill="1" applyAlignment="1"/>
    <xf numFmtId="0" fontId="11" fillId="0" borderId="0" xfId="0" applyNumberFormat="1" applyFont="1" applyFill="1" applyAlignment="1" applyProtection="1">
      <alignment horizontal="center" vertical="top"/>
      <protection locked="0"/>
    </xf>
    <xf numFmtId="0" fontId="11" fillId="0" borderId="0" xfId="0" applyNumberFormat="1" applyFont="1" applyFill="1" applyBorder="1" applyAlignment="1">
      <alignment horizontal="left"/>
    </xf>
    <xf numFmtId="0" fontId="8" fillId="0" borderId="0" xfId="0" applyFont="1" applyFill="1" applyBorder="1" applyAlignment="1">
      <alignment vertical="top"/>
    </xf>
    <xf numFmtId="0" fontId="8" fillId="0" borderId="0" xfId="0" applyFont="1" applyFill="1" applyAlignment="1">
      <alignment horizontal="left" indent="1"/>
    </xf>
    <xf numFmtId="0" fontId="23" fillId="0" borderId="0" xfId="0" applyNumberFormat="1" applyFont="1" applyFill="1" applyAlignment="1"/>
    <xf numFmtId="0" fontId="8" fillId="0" borderId="0" xfId="0" applyFont="1" applyFill="1" applyAlignment="1">
      <alignment horizontal="left"/>
    </xf>
    <xf numFmtId="0" fontId="8" fillId="0" borderId="0" xfId="0" applyNumberFormat="1" applyFont="1" applyFill="1" applyAlignment="1">
      <alignment horizontal="left" vertical="top"/>
    </xf>
    <xf numFmtId="0" fontId="8" fillId="0" borderId="0" xfId="0" applyFont="1" applyFill="1" applyBorder="1" applyAlignment="1" applyProtection="1">
      <alignment horizontal="left" vertical="top"/>
    </xf>
    <xf numFmtId="166" fontId="21" fillId="0" borderId="0" xfId="0" quotePrefix="1" applyNumberFormat="1" applyFont="1" applyFill="1" applyAlignment="1"/>
    <xf numFmtId="0" fontId="11" fillId="0" borderId="0" xfId="0" quotePrefix="1" applyFont="1" applyFill="1" applyAlignment="1">
      <alignment horizontal="left" vertical="top"/>
    </xf>
    <xf numFmtId="0" fontId="23" fillId="0" borderId="0" xfId="0" applyFont="1" applyFill="1" applyBorder="1" applyProtection="1"/>
    <xf numFmtId="0" fontId="11" fillId="0" borderId="0" xfId="0" applyNumberFormat="1" applyFont="1" applyFill="1" applyAlignment="1">
      <alignment horizontal="left" vertical="top"/>
    </xf>
    <xf numFmtId="0" fontId="23" fillId="0" borderId="0" xfId="0" applyFont="1" applyFill="1" applyProtection="1"/>
    <xf numFmtId="0" fontId="8" fillId="0" borderId="0" xfId="0" applyFont="1" applyFill="1"/>
    <xf numFmtId="0" fontId="8" fillId="0" borderId="0" xfId="0" applyFont="1" applyFill="1"/>
    <xf numFmtId="0" fontId="8" fillId="0" borderId="0" xfId="0" applyFont="1" applyFill="1" applyAlignment="1">
      <alignment vertical="top" wrapText="1"/>
    </xf>
    <xf numFmtId="0" fontId="8" fillId="0" borderId="0" xfId="0" applyFont="1" applyFill="1" applyBorder="1" applyAlignment="1">
      <alignment horizontal="justify" vertical="top"/>
    </xf>
    <xf numFmtId="0" fontId="11" fillId="0" borderId="0" xfId="0" applyNumberFormat="1" applyFont="1" applyFill="1" applyBorder="1" applyAlignment="1">
      <alignment horizontal="left" vertical="top"/>
    </xf>
    <xf numFmtId="174" fontId="11" fillId="0" borderId="0" xfId="0" quotePrefix="1" applyNumberFormat="1" applyFont="1" applyFill="1" applyAlignment="1">
      <alignment horizontal="left" vertical="top"/>
    </xf>
    <xf numFmtId="0" fontId="11" fillId="0" borderId="0" xfId="0" applyFont="1" applyFill="1" applyAlignment="1">
      <alignment horizontal="left" vertical="top"/>
    </xf>
    <xf numFmtId="0" fontId="11" fillId="0" borderId="0" xfId="0" quotePrefix="1" applyFont="1" applyFill="1" applyAlignment="1">
      <alignment horizontal="left" vertical="top"/>
    </xf>
    <xf numFmtId="0" fontId="8" fillId="0" borderId="0" xfId="0" quotePrefix="1" applyFont="1" applyFill="1" applyAlignment="1">
      <alignment horizontal="justify" vertical="justify" wrapText="1"/>
    </xf>
    <xf numFmtId="0" fontId="8" fillId="0" borderId="0" xfId="0" applyFont="1" applyFill="1" applyAlignment="1">
      <alignment horizontal="justify" vertical="top" wrapText="1"/>
    </xf>
    <xf numFmtId="166" fontId="8" fillId="0" borderId="2" xfId="0" quotePrefix="1" applyNumberFormat="1" applyFont="1" applyFill="1" applyBorder="1" applyAlignment="1">
      <alignment horizontal="center"/>
    </xf>
    <xf numFmtId="166" fontId="11" fillId="0" borderId="2" xfId="0" quotePrefix="1" applyNumberFormat="1" applyFont="1" applyFill="1" applyBorder="1" applyAlignment="1">
      <alignment horizontal="center"/>
    </xf>
    <xf numFmtId="166" fontId="8" fillId="0" borderId="0" xfId="0" quotePrefix="1" applyNumberFormat="1" applyFont="1" applyFill="1" applyAlignment="1">
      <alignment horizontal="center"/>
    </xf>
    <xf numFmtId="166" fontId="8" fillId="0" borderId="3" xfId="0" quotePrefix="1" applyNumberFormat="1" applyFont="1" applyFill="1" applyBorder="1" applyAlignment="1">
      <alignment horizontal="center"/>
    </xf>
    <xf numFmtId="166" fontId="11" fillId="0" borderId="3" xfId="0" quotePrefix="1" applyNumberFormat="1" applyFont="1" applyFill="1" applyBorder="1" applyAlignment="1">
      <alignment horizontal="center"/>
    </xf>
    <xf numFmtId="174" fontId="11" fillId="0" borderId="0" xfId="0" quotePrefix="1" applyNumberFormat="1" applyFont="1" applyFill="1" applyAlignment="1">
      <alignment horizontal="left" vertical="top"/>
    </xf>
    <xf numFmtId="0" fontId="8" fillId="0" borderId="0" xfId="0" applyFont="1" applyFill="1" applyAlignment="1">
      <alignment horizontal="left" vertical="top" wrapText="1"/>
    </xf>
    <xf numFmtId="0" fontId="8" fillId="0" borderId="0" xfId="0" applyFont="1" applyFill="1" applyAlignment="1">
      <alignment horizontal="left" vertical="top"/>
    </xf>
    <xf numFmtId="41" fontId="8" fillId="0" borderId="0" xfId="0" applyNumberFormat="1" applyFont="1" applyFill="1" applyBorder="1" applyAlignment="1">
      <alignment horizontal="center" vertical="top"/>
    </xf>
    <xf numFmtId="41" fontId="11" fillId="0" borderId="0" xfId="0" applyNumberFormat="1" applyFont="1" applyFill="1" applyBorder="1" applyAlignment="1">
      <alignment horizontal="center" vertical="top"/>
    </xf>
    <xf numFmtId="169" fontId="11" fillId="0" borderId="0" xfId="0" applyNumberFormat="1" applyFont="1" applyFill="1" applyAlignment="1"/>
    <xf numFmtId="41" fontId="8" fillId="0" borderId="2" xfId="0" applyNumberFormat="1" applyFont="1" applyFill="1" applyBorder="1" applyAlignment="1">
      <alignment horizontal="center" vertical="top"/>
    </xf>
    <xf numFmtId="49" fontId="8" fillId="0" borderId="0" xfId="0" applyNumberFormat="1" applyFont="1" applyFill="1" applyAlignment="1">
      <alignment vertical="top"/>
    </xf>
    <xf numFmtId="171" fontId="8" fillId="0" borderId="0" xfId="0" quotePrefix="1" applyNumberFormat="1" applyFont="1" applyFill="1" applyBorder="1" applyAlignment="1" applyProtection="1">
      <alignment horizontal="center" vertical="top"/>
    </xf>
    <xf numFmtId="0" fontId="8" fillId="0" borderId="0" xfId="0" applyNumberFormat="1" applyFont="1" applyFill="1" applyAlignment="1">
      <alignment vertical="top"/>
    </xf>
    <xf numFmtId="0" fontId="11" fillId="0" borderId="0" xfId="0" quotePrefix="1" applyFont="1" applyFill="1" applyBorder="1" applyAlignment="1">
      <alignment horizontal="left" vertical="top"/>
    </xf>
    <xf numFmtId="0" fontId="8" fillId="0" borderId="0" xfId="0" applyFont="1" applyFill="1" applyAlignment="1">
      <alignment horizontal="justify" vertical="top" wrapText="1"/>
    </xf>
    <xf numFmtId="0" fontId="8" fillId="0" borderId="0" xfId="0" quotePrefix="1" applyNumberFormat="1" applyFont="1" applyFill="1" applyAlignment="1">
      <alignment horizontal="center" vertical="center"/>
    </xf>
    <xf numFmtId="166" fontId="8" fillId="0" borderId="0" xfId="1" applyNumberFormat="1" applyFont="1" applyFill="1" applyBorder="1" applyAlignment="1">
      <alignment horizontal="justify" vertical="top" wrapText="1"/>
    </xf>
    <xf numFmtId="0" fontId="8" fillId="0" borderId="0" xfId="0" applyFont="1" applyFill="1" applyAlignment="1">
      <alignment vertical="top"/>
    </xf>
    <xf numFmtId="41" fontId="11" fillId="0" borderId="0" xfId="0" applyNumberFormat="1" applyFont="1" applyFill="1" applyBorder="1" applyAlignment="1">
      <alignment vertical="top"/>
    </xf>
    <xf numFmtId="41" fontId="11" fillId="0" borderId="2" xfId="0" applyNumberFormat="1" applyFont="1" applyFill="1" applyBorder="1" applyAlignment="1">
      <alignment vertical="top"/>
    </xf>
    <xf numFmtId="166" fontId="11" fillId="0" borderId="0" xfId="1" applyNumberFormat="1" applyFont="1" applyFill="1" applyAlignment="1">
      <alignment vertical="top"/>
    </xf>
    <xf numFmtId="166" fontId="8" fillId="0" borderId="2" xfId="0" applyNumberFormat="1" applyFont="1" applyFill="1" applyBorder="1" applyAlignment="1">
      <alignment vertical="top"/>
    </xf>
    <xf numFmtId="166" fontId="11" fillId="0" borderId="2" xfId="0" applyNumberFormat="1" applyFont="1" applyFill="1" applyBorder="1" applyAlignment="1">
      <alignment vertical="top"/>
    </xf>
    <xf numFmtId="166" fontId="11" fillId="0" borderId="0" xfId="0" quotePrefix="1" applyNumberFormat="1" applyFont="1" applyFill="1" applyAlignment="1">
      <alignment horizontal="center" vertical="top"/>
    </xf>
    <xf numFmtId="166" fontId="8" fillId="0" borderId="0" xfId="0" applyNumberFormat="1" applyFont="1" applyFill="1" applyAlignment="1">
      <alignment horizontal="center"/>
    </xf>
    <xf numFmtId="166" fontId="11" fillId="0" borderId="0" xfId="0" quotePrefix="1" applyNumberFormat="1" applyFont="1" applyFill="1" applyAlignment="1">
      <alignment horizontal="center"/>
    </xf>
    <xf numFmtId="0" fontId="11" fillId="0" borderId="0" xfId="0" applyFont="1" applyFill="1" applyAlignment="1">
      <alignment vertical="top"/>
    </xf>
    <xf numFmtId="0" fontId="11" fillId="0" borderId="0" xfId="0" quotePrefix="1" applyNumberFormat="1" applyFont="1" applyFill="1" applyBorder="1" applyAlignment="1">
      <alignment vertical="top"/>
    </xf>
    <xf numFmtId="174" fontId="11" fillId="0" borderId="0" xfId="0" quotePrefix="1" applyNumberFormat="1" applyFont="1" applyFill="1" applyBorder="1" applyAlignment="1">
      <alignment horizontal="left" vertical="top"/>
    </xf>
    <xf numFmtId="0" fontId="11" fillId="0" borderId="0" xfId="0" applyFont="1" applyFill="1" applyAlignment="1">
      <alignment horizontal="left" vertical="top"/>
    </xf>
    <xf numFmtId="0" fontId="8" fillId="0" borderId="0" xfId="0" applyFont="1" applyFill="1" applyAlignment="1" applyProtection="1">
      <alignment horizontal="justify" vertical="top"/>
      <protection locked="0"/>
    </xf>
    <xf numFmtId="0" fontId="11" fillId="0" borderId="0" xfId="0" applyFont="1" applyFill="1" applyAlignment="1">
      <alignment horizontal="center" vertical="top"/>
    </xf>
    <xf numFmtId="0" fontId="8" fillId="0" borderId="0" xfId="0" applyFont="1" applyFill="1" applyAlignment="1">
      <alignment horizontal="left" vertical="top"/>
    </xf>
    <xf numFmtId="37" fontId="11" fillId="0" borderId="0" xfId="0" applyNumberFormat="1" applyFont="1" applyFill="1" applyAlignment="1">
      <alignment vertical="top"/>
    </xf>
    <xf numFmtId="166" fontId="8" fillId="0" borderId="0" xfId="0" quotePrefix="1" applyNumberFormat="1" applyFont="1" applyFill="1" applyBorder="1" applyAlignment="1">
      <alignment horizontal="center" vertical="top"/>
    </xf>
    <xf numFmtId="0" fontId="8" fillId="0" borderId="0" xfId="0" applyFont="1" applyFill="1" applyAlignment="1">
      <alignment horizontal="justify" vertical="top" wrapText="1"/>
    </xf>
    <xf numFmtId="0" fontId="8" fillId="0" borderId="0" xfId="0" applyNumberFormat="1" applyFont="1" applyFill="1" applyAlignment="1">
      <alignment vertical="top"/>
    </xf>
    <xf numFmtId="0" fontId="8" fillId="0" borderId="0" xfId="0" applyFont="1" applyFill="1" applyAlignment="1">
      <alignment vertical="top"/>
    </xf>
    <xf numFmtId="174" fontId="11" fillId="0" borderId="0" xfId="0" applyNumberFormat="1" applyFont="1" applyFill="1" applyAlignment="1">
      <alignment horizontal="left" vertical="top"/>
    </xf>
    <xf numFmtId="166" fontId="8" fillId="0" borderId="2" xfId="0" quotePrefix="1" applyNumberFormat="1" applyFont="1" applyFill="1" applyBorder="1" applyAlignment="1">
      <alignment horizontal="center" vertical="top"/>
    </xf>
    <xf numFmtId="0" fontId="8" fillId="0" borderId="0" xfId="0" applyFont="1" applyFill="1" applyBorder="1" applyAlignment="1">
      <alignment horizontal="justify" vertical="top" wrapText="1"/>
    </xf>
    <xf numFmtId="166" fontId="8" fillId="0" borderId="0" xfId="0" quotePrefix="1" applyNumberFormat="1" applyFont="1" applyFill="1" applyBorder="1" applyAlignment="1" applyProtection="1">
      <alignment horizontal="center" vertical="top"/>
    </xf>
    <xf numFmtId="0" fontId="8" fillId="0" borderId="0" xfId="0" applyFont="1" applyFill="1" applyBorder="1" applyAlignment="1">
      <alignment horizontal="left" vertical="top"/>
    </xf>
    <xf numFmtId="0" fontId="8" fillId="0" borderId="0" xfId="0" applyFont="1" applyFill="1" applyAlignment="1">
      <alignment vertical="top"/>
    </xf>
    <xf numFmtId="0" fontId="11" fillId="0" borderId="0" xfId="0" quotePrefix="1" applyNumberFormat="1" applyFont="1" applyFill="1" applyAlignment="1">
      <alignment horizontal="left" vertical="top"/>
    </xf>
    <xf numFmtId="0" fontId="23" fillId="0" borderId="0" xfId="0" applyFont="1" applyFill="1" applyAlignment="1">
      <alignment vertical="top"/>
    </xf>
    <xf numFmtId="169" fontId="23" fillId="0" borderId="0" xfId="0" applyNumberFormat="1" applyFont="1" applyFill="1" applyAlignment="1">
      <alignment vertical="top"/>
    </xf>
    <xf numFmtId="0" fontId="23" fillId="0" borderId="0" xfId="0" applyFont="1" applyFill="1" applyAlignment="1">
      <alignment horizontal="justify" vertical="justify" wrapText="1"/>
    </xf>
    <xf numFmtId="0" fontId="23" fillId="0" borderId="0" xfId="0" applyFont="1" applyFill="1" applyAlignment="1">
      <alignment horizontal="left" vertical="top" wrapText="1"/>
    </xf>
    <xf numFmtId="0" fontId="21" fillId="0" borderId="0" xfId="0" applyNumberFormat="1" applyFont="1" applyFill="1" applyAlignment="1">
      <alignment horizontal="left" vertical="top" wrapText="1"/>
    </xf>
    <xf numFmtId="0" fontId="21" fillId="0" borderId="0" xfId="0" applyNumberFormat="1" applyFont="1" applyFill="1" applyAlignment="1">
      <alignment vertical="top" wrapText="1"/>
    </xf>
    <xf numFmtId="0" fontId="21" fillId="0" borderId="0" xfId="0" applyNumberFormat="1" applyFont="1" applyFill="1" applyAlignment="1">
      <alignment horizontal="left" vertical="top"/>
    </xf>
    <xf numFmtId="0" fontId="23" fillId="0" borderId="0" xfId="0" quotePrefix="1" applyFont="1" applyFill="1" applyAlignment="1">
      <alignment horizontal="center" vertical="top"/>
    </xf>
    <xf numFmtId="0" fontId="23" fillId="0" borderId="0" xfId="0" applyNumberFormat="1" applyFont="1" applyFill="1" applyAlignment="1">
      <alignment vertical="justify" wrapText="1"/>
    </xf>
    <xf numFmtId="0" fontId="21" fillId="0" borderId="0" xfId="0" applyFont="1" applyFill="1" applyAlignment="1">
      <alignment vertical="top"/>
    </xf>
    <xf numFmtId="0" fontId="11" fillId="0" borderId="0" xfId="0" applyFont="1" applyFill="1" applyAlignment="1">
      <alignment vertical="top"/>
    </xf>
    <xf numFmtId="0" fontId="11" fillId="0" borderId="0" xfId="0" quotePrefix="1" applyNumberFormat="1" applyFont="1" applyFill="1" applyAlignment="1">
      <alignment horizontal="left" vertical="top"/>
    </xf>
    <xf numFmtId="0" fontId="23" fillId="0" borderId="0" xfId="0" applyFont="1" applyFill="1" applyAlignment="1">
      <alignment vertical="top"/>
    </xf>
    <xf numFmtId="0" fontId="11" fillId="0" borderId="0" xfId="0" applyFont="1" applyFill="1" applyAlignment="1">
      <alignment vertical="top"/>
    </xf>
    <xf numFmtId="0" fontId="11" fillId="0" borderId="0" xfId="0" quotePrefix="1" applyFont="1" applyFill="1" applyAlignment="1">
      <alignment horizontal="left" vertical="top"/>
    </xf>
    <xf numFmtId="37" fontId="8" fillId="0" borderId="0" xfId="0" applyNumberFormat="1" applyFont="1" applyFill="1" applyAlignment="1">
      <alignment vertical="top"/>
    </xf>
    <xf numFmtId="37" fontId="8" fillId="0" borderId="0" xfId="0" applyNumberFormat="1" applyFont="1" applyFill="1" applyAlignment="1">
      <alignment horizontal="center" vertical="top"/>
    </xf>
    <xf numFmtId="15" fontId="11" fillId="0" borderId="0" xfId="0" applyNumberFormat="1" applyFont="1" applyFill="1" applyAlignment="1" applyProtection="1">
      <alignment vertical="top"/>
    </xf>
    <xf numFmtId="15" fontId="11" fillId="0" borderId="0" xfId="0" applyNumberFormat="1" applyFont="1" applyFill="1" applyAlignment="1" applyProtection="1">
      <alignment horizontal="left" vertical="top"/>
    </xf>
    <xf numFmtId="0" fontId="8" fillId="0" borderId="0" xfId="0" applyFont="1" applyFill="1" applyAlignment="1">
      <alignment horizontal="center" vertical="top"/>
    </xf>
    <xf numFmtId="0" fontId="11" fillId="0" borderId="0" xfId="0" applyNumberFormat="1" applyFont="1" applyFill="1" applyAlignment="1" applyProtection="1">
      <alignment vertical="top"/>
    </xf>
    <xf numFmtId="0" fontId="11" fillId="0" borderId="0" xfId="0" applyNumberFormat="1" applyFont="1" applyFill="1" applyAlignment="1" applyProtection="1">
      <alignment horizontal="left" vertical="top"/>
    </xf>
    <xf numFmtId="2" fontId="12" fillId="0" borderId="0" xfId="1" applyNumberFormat="1" applyFont="1" applyFill="1" applyBorder="1" applyAlignment="1">
      <alignment vertical="top"/>
    </xf>
    <xf numFmtId="176" fontId="12" fillId="0" borderId="1" xfId="1" applyNumberFormat="1" applyFont="1" applyFill="1" applyBorder="1" applyAlignment="1">
      <alignment vertical="top"/>
    </xf>
    <xf numFmtId="176" fontId="12" fillId="0" borderId="0" xfId="1" applyNumberFormat="1" applyFont="1" applyFill="1" applyBorder="1" applyAlignment="1">
      <alignment vertical="top"/>
    </xf>
    <xf numFmtId="0" fontId="13" fillId="0" borderId="0" xfId="0" applyFont="1" applyFill="1" applyAlignment="1">
      <alignment vertical="top"/>
    </xf>
    <xf numFmtId="10" fontId="13" fillId="0" borderId="0" xfId="2" applyNumberFormat="1" applyFont="1" applyFill="1" applyBorder="1" applyAlignment="1">
      <alignment vertical="top"/>
    </xf>
    <xf numFmtId="176" fontId="13" fillId="0" borderId="2" xfId="1" applyNumberFormat="1" applyFont="1" applyFill="1" applyBorder="1" applyAlignment="1">
      <alignment vertical="top"/>
    </xf>
    <xf numFmtId="43" fontId="12" fillId="0" borderId="0" xfId="1" applyFont="1" applyFill="1" applyBorder="1" applyAlignment="1">
      <alignment vertical="top"/>
    </xf>
    <xf numFmtId="0" fontId="12" fillId="0" borderId="0" xfId="0" applyFont="1" applyFill="1" applyAlignment="1">
      <alignment vertical="top"/>
    </xf>
    <xf numFmtId="177" fontId="12" fillId="0" borderId="0" xfId="0" quotePrefix="1" applyNumberFormat="1" applyFont="1" applyFill="1" applyAlignment="1">
      <alignment vertical="top"/>
    </xf>
    <xf numFmtId="0" fontId="24" fillId="0" borderId="0" xfId="0" quotePrefix="1" applyFont="1" applyFill="1" applyAlignment="1">
      <alignment vertical="top"/>
    </xf>
    <xf numFmtId="0" fontId="16" fillId="0" borderId="0" xfId="0" applyNumberFormat="1" applyFont="1" applyFill="1" applyBorder="1" applyAlignment="1" applyProtection="1"/>
    <xf numFmtId="0" fontId="12" fillId="0" borderId="0" xfId="0" applyNumberFormat="1" applyFont="1" applyFill="1" applyBorder="1" applyAlignment="1"/>
    <xf numFmtId="0" fontId="12" fillId="0" borderId="0" xfId="0" applyFont="1" applyFill="1" applyProtection="1">
      <protection locked="0"/>
    </xf>
    <xf numFmtId="0" fontId="13" fillId="0" borderId="0" xfId="0" applyFont="1" applyFill="1" applyProtection="1">
      <protection locked="0"/>
    </xf>
    <xf numFmtId="0" fontId="25" fillId="0" borderId="0" xfId="0" applyNumberFormat="1" applyFont="1" applyFill="1" applyBorder="1" applyAlignment="1" applyProtection="1"/>
    <xf numFmtId="166" fontId="12" fillId="0" borderId="0" xfId="0" applyNumberFormat="1" applyFont="1" applyFill="1" applyProtection="1">
      <protection locked="0"/>
    </xf>
    <xf numFmtId="0" fontId="12" fillId="0" borderId="0" xfId="0" applyFont="1" applyFill="1"/>
    <xf numFmtId="166" fontId="16" fillId="0" borderId="0" xfId="1" applyNumberFormat="1" applyFont="1" applyFill="1" applyBorder="1" applyAlignment="1" applyProtection="1"/>
    <xf numFmtId="43" fontId="16" fillId="0" borderId="0" xfId="0" applyNumberFormat="1" applyFont="1" applyFill="1" applyBorder="1" applyAlignment="1" applyProtection="1"/>
    <xf numFmtId="4" fontId="16" fillId="0" borderId="0" xfId="0" applyNumberFormat="1" applyFont="1" applyFill="1" applyBorder="1" applyAlignment="1" applyProtection="1"/>
    <xf numFmtId="0" fontId="18" fillId="0" borderId="0" xfId="0" applyNumberFormat="1" applyFont="1" applyFill="1" applyBorder="1" applyAlignment="1" applyProtection="1"/>
    <xf numFmtId="170" fontId="16" fillId="0" borderId="0" xfId="0" applyNumberFormat="1" applyFont="1" applyFill="1" applyBorder="1" applyAlignment="1" applyProtection="1">
      <alignment horizontal="left" indent="2"/>
    </xf>
    <xf numFmtId="170" fontId="12" fillId="0" borderId="0" xfId="0" applyNumberFormat="1" applyFont="1" applyFill="1" applyBorder="1" applyAlignment="1" applyProtection="1"/>
    <xf numFmtId="0" fontId="26" fillId="0" borderId="0" xfId="0" applyFont="1" applyFill="1" applyBorder="1" applyAlignment="1" applyProtection="1">
      <alignment vertical="top"/>
      <protection locked="0"/>
    </xf>
    <xf numFmtId="0" fontId="27" fillId="0" borderId="0" xfId="0" applyFont="1" applyFill="1" applyBorder="1"/>
    <xf numFmtId="0" fontId="26" fillId="0" borderId="0" xfId="0" applyNumberFormat="1" applyFont="1" applyFill="1" applyBorder="1" applyAlignment="1">
      <alignment horizontal="left"/>
    </xf>
    <xf numFmtId="0" fontId="27" fillId="0" borderId="0" xfId="0" applyNumberFormat="1" applyFont="1" applyFill="1" applyBorder="1"/>
    <xf numFmtId="0" fontId="26" fillId="0" borderId="0" xfId="0" applyNumberFormat="1" applyFont="1" applyFill="1" applyBorder="1" applyAlignment="1" applyProtection="1">
      <alignment vertical="top"/>
      <protection locked="0"/>
    </xf>
    <xf numFmtId="0" fontId="26" fillId="0" borderId="0" xfId="0" applyNumberFormat="1" applyFont="1" applyFill="1" applyBorder="1" applyAlignment="1">
      <alignment horizontal="left" vertical="top"/>
    </xf>
    <xf numFmtId="166" fontId="8" fillId="0" borderId="0" xfId="0" applyNumberFormat="1" applyFont="1" applyFill="1" applyAlignment="1">
      <alignment vertical="top"/>
    </xf>
    <xf numFmtId="0" fontId="11" fillId="0" borderId="0" xfId="0" applyFont="1" applyFill="1" applyBorder="1" applyAlignment="1">
      <alignment vertical="top"/>
    </xf>
    <xf numFmtId="0" fontId="11" fillId="0" borderId="0" xfId="0" quotePrefix="1" applyFont="1" applyFill="1" applyBorder="1" applyAlignment="1">
      <alignment horizontal="left" vertical="top"/>
    </xf>
    <xf numFmtId="0" fontId="21" fillId="0" borderId="0" xfId="0" applyFont="1" applyFill="1" applyBorder="1" applyAlignment="1"/>
    <xf numFmtId="174" fontId="8" fillId="0" borderId="0" xfId="0" quotePrefix="1" applyNumberFormat="1" applyFont="1" applyFill="1" applyBorder="1" applyAlignment="1">
      <alignment horizontal="center" vertical="top"/>
    </xf>
    <xf numFmtId="0" fontId="12" fillId="0" borderId="0" xfId="0" applyFont="1" applyBorder="1" applyAlignment="1">
      <alignment vertical="top"/>
    </xf>
    <xf numFmtId="0" fontId="12" fillId="0" borderId="0" xfId="0" applyFont="1" applyFill="1" applyAlignment="1" applyProtection="1">
      <alignment horizontal="justify" vertical="top"/>
      <protection locked="0"/>
    </xf>
    <xf numFmtId="0" fontId="12" fillId="0" borderId="0" xfId="0" applyFont="1" applyAlignment="1">
      <alignment vertical="top"/>
    </xf>
    <xf numFmtId="0" fontId="13" fillId="0" borderId="0" xfId="0" applyFont="1" applyFill="1" applyAlignment="1">
      <alignment vertical="top"/>
    </xf>
    <xf numFmtId="0" fontId="13" fillId="0" borderId="0" xfId="0" applyFont="1" applyFill="1" applyAlignment="1">
      <alignment horizontal="left" vertical="top"/>
    </xf>
    <xf numFmtId="0" fontId="12" fillId="0" borderId="0" xfId="0" applyFont="1" applyFill="1" applyAlignment="1">
      <alignment horizontal="left" vertical="top"/>
    </xf>
    <xf numFmtId="0" fontId="12" fillId="0" borderId="0" xfId="0" applyFont="1" applyFill="1" applyAlignment="1">
      <alignment horizontal="left" vertical="top" indent="1"/>
    </xf>
    <xf numFmtId="0" fontId="12" fillId="0" borderId="0" xfId="0" quotePrefix="1" applyFont="1" applyFill="1" applyAlignment="1">
      <alignment horizontal="left" vertical="top" indent="1"/>
    </xf>
    <xf numFmtId="0" fontId="12" fillId="0" borderId="0" xfId="0" applyFont="1" applyFill="1" applyAlignment="1">
      <alignment horizontal="left" vertical="top" indent="2"/>
    </xf>
    <xf numFmtId="0" fontId="12" fillId="0" borderId="0" xfId="0" applyFont="1" applyFill="1" applyAlignment="1" applyProtection="1">
      <alignment vertical="top"/>
    </xf>
    <xf numFmtId="0" fontId="12" fillId="0" borderId="0" xfId="0" applyFont="1" applyFill="1" applyAlignment="1" applyProtection="1">
      <alignment horizontal="left" vertical="top"/>
    </xf>
    <xf numFmtId="0" fontId="12" fillId="0" borderId="0" xfId="0" quotePrefix="1" applyFont="1" applyFill="1" applyAlignment="1">
      <alignment horizontal="left" vertical="center" indent="1"/>
    </xf>
    <xf numFmtId="0" fontId="12" fillId="2" borderId="0" xfId="0" applyFont="1" applyFill="1" applyAlignment="1">
      <alignment vertical="top"/>
    </xf>
    <xf numFmtId="0" fontId="12" fillId="2" borderId="0" xfId="0" applyFont="1" applyFill="1" applyAlignment="1">
      <alignment horizontal="left" vertical="top"/>
    </xf>
    <xf numFmtId="0" fontId="12" fillId="0" borderId="0" xfId="0" applyFont="1" applyFill="1" applyAlignment="1">
      <alignment vertical="center"/>
    </xf>
    <xf numFmtId="0" fontId="12" fillId="0" borderId="0" xfId="0" applyFont="1" applyFill="1" applyAlignment="1">
      <alignment horizontal="left" vertical="center" indent="1"/>
    </xf>
    <xf numFmtId="0" fontId="12" fillId="0" borderId="0" xfId="0" applyFont="1" applyFill="1" applyAlignment="1">
      <alignment horizontal="left"/>
    </xf>
    <xf numFmtId="43" fontId="12" fillId="0" borderId="0" xfId="0" applyNumberFormat="1" applyFont="1" applyFill="1" applyBorder="1" applyAlignment="1">
      <alignment horizontal="left" vertical="top"/>
    </xf>
    <xf numFmtId="0" fontId="13" fillId="0" borderId="0" xfId="0" quotePrefix="1" applyFont="1" applyFill="1" applyAlignment="1">
      <alignment horizontal="center" vertical="center"/>
    </xf>
    <xf numFmtId="170" fontId="13" fillId="0" borderId="0" xfId="0" applyNumberFormat="1" applyFont="1" applyFill="1" applyBorder="1" applyAlignment="1">
      <alignment vertical="top"/>
    </xf>
    <xf numFmtId="0" fontId="26" fillId="0" borderId="0" xfId="0" applyNumberFormat="1" applyFont="1" applyFill="1" applyAlignment="1">
      <alignment horizontal="center" vertical="top"/>
    </xf>
    <xf numFmtId="0" fontId="26" fillId="0" borderId="0" xfId="0" applyNumberFormat="1" applyFont="1" applyFill="1" applyBorder="1" applyAlignment="1">
      <alignment horizontal="center" vertical="center" wrapText="1"/>
    </xf>
    <xf numFmtId="0" fontId="27" fillId="0" borderId="0" xfId="0" applyNumberFormat="1" applyFont="1" applyFill="1" applyAlignment="1">
      <alignment vertical="top"/>
    </xf>
    <xf numFmtId="0" fontId="26" fillId="0" borderId="0" xfId="0" applyFont="1" applyFill="1" applyAlignment="1">
      <alignment vertical="top"/>
    </xf>
    <xf numFmtId="0" fontId="27" fillId="0" borderId="0" xfId="0" applyFont="1" applyFill="1" applyAlignment="1">
      <alignment vertical="top"/>
    </xf>
    <xf numFmtId="0" fontId="27" fillId="0" borderId="0" xfId="0" applyFont="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0" xfId="0" applyNumberFormat="1" applyFont="1" applyFill="1" applyAlignment="1">
      <alignment vertical="top"/>
    </xf>
    <xf numFmtId="176" fontId="12" fillId="0" borderId="0" xfId="0" applyNumberFormat="1" applyFont="1" applyFill="1" applyAlignment="1">
      <alignment vertical="top"/>
    </xf>
    <xf numFmtId="176" fontId="12" fillId="0" borderId="0" xfId="0" applyNumberFormat="1" applyFont="1" applyFill="1" applyBorder="1" applyAlignment="1">
      <alignment vertical="top"/>
    </xf>
    <xf numFmtId="176" fontId="12" fillId="0" borderId="6" xfId="0" applyNumberFormat="1" applyFont="1" applyFill="1" applyBorder="1" applyAlignment="1">
      <alignment vertical="top"/>
    </xf>
    <xf numFmtId="176" fontId="12" fillId="0" borderId="5" xfId="0" applyNumberFormat="1" applyFont="1" applyFill="1" applyBorder="1" applyAlignment="1">
      <alignment vertical="top"/>
    </xf>
    <xf numFmtId="176" fontId="12" fillId="0" borderId="4" xfId="0" applyNumberFormat="1" applyFont="1" applyFill="1" applyBorder="1" applyAlignment="1">
      <alignment vertical="top"/>
    </xf>
    <xf numFmtId="176" fontId="12" fillId="0" borderId="0" xfId="0" applyNumberFormat="1" applyFont="1" applyFill="1" applyAlignment="1" applyProtection="1">
      <alignment vertical="top"/>
      <protection locked="0"/>
    </xf>
    <xf numFmtId="176" fontId="12" fillId="0" borderId="2" xfId="0" applyNumberFormat="1" applyFont="1" applyFill="1" applyBorder="1" applyAlignment="1">
      <alignment vertical="top"/>
    </xf>
    <xf numFmtId="176" fontId="12" fillId="0" borderId="6" xfId="0" applyNumberFormat="1" applyFont="1" applyFill="1" applyBorder="1" applyAlignment="1" applyProtection="1">
      <alignment vertical="top"/>
      <protection locked="0"/>
    </xf>
    <xf numFmtId="176" fontId="12" fillId="0" borderId="4" xfId="0" applyNumberFormat="1" applyFont="1" applyFill="1" applyBorder="1" applyAlignment="1" applyProtection="1">
      <alignment vertical="top"/>
      <protection locked="0"/>
    </xf>
    <xf numFmtId="176" fontId="12" fillId="0" borderId="3" xfId="0" applyNumberFormat="1" applyFont="1" applyFill="1" applyBorder="1" applyAlignment="1" applyProtection="1">
      <alignment vertical="top"/>
      <protection locked="0"/>
    </xf>
    <xf numFmtId="176" fontId="12" fillId="0" borderId="0" xfId="0" applyNumberFormat="1" applyFont="1" applyFill="1" applyBorder="1" applyAlignment="1" applyProtection="1">
      <alignment vertical="top"/>
    </xf>
    <xf numFmtId="176" fontId="12" fillId="0" borderId="2" xfId="0" applyNumberFormat="1" applyFont="1" applyFill="1" applyBorder="1" applyAlignment="1" applyProtection="1">
      <alignment vertical="top"/>
    </xf>
    <xf numFmtId="176" fontId="12" fillId="0" borderId="0" xfId="0" applyNumberFormat="1" applyFont="1" applyFill="1" applyAlignment="1" applyProtection="1">
      <protection locked="0"/>
    </xf>
    <xf numFmtId="176" fontId="12" fillId="0" borderId="0" xfId="0" applyNumberFormat="1" applyFont="1" applyFill="1" applyBorder="1" applyAlignment="1" applyProtection="1">
      <protection locked="0"/>
    </xf>
    <xf numFmtId="176" fontId="12" fillId="2" borderId="0" xfId="0" applyNumberFormat="1" applyFont="1" applyFill="1" applyAlignment="1" applyProtection="1">
      <protection locked="0"/>
    </xf>
    <xf numFmtId="176" fontId="12" fillId="2" borderId="0" xfId="0" applyNumberFormat="1" applyFont="1" applyFill="1" applyBorder="1" applyAlignment="1" applyProtection="1">
      <protection locked="0"/>
    </xf>
    <xf numFmtId="170" fontId="12" fillId="0" borderId="1" xfId="0" applyNumberFormat="1" applyFont="1" applyFill="1" applyBorder="1" applyAlignment="1">
      <alignment vertical="top"/>
    </xf>
    <xf numFmtId="174" fontId="26" fillId="0" borderId="0" xfId="0" quotePrefix="1" applyNumberFormat="1" applyFont="1" applyFill="1" applyBorder="1" applyAlignment="1">
      <alignment horizontal="left" vertical="top"/>
    </xf>
    <xf numFmtId="0" fontId="26" fillId="0" borderId="0" xfId="0" quotePrefix="1" applyNumberFormat="1" applyFont="1" applyFill="1" applyBorder="1" applyAlignment="1">
      <alignment vertical="top"/>
    </xf>
    <xf numFmtId="0" fontId="26" fillId="0" borderId="0" xfId="0" applyFont="1" applyFill="1" applyAlignment="1">
      <alignment vertical="top"/>
    </xf>
    <xf numFmtId="0" fontId="27" fillId="0" borderId="0" xfId="0" applyFont="1" applyFill="1" applyBorder="1" applyAlignment="1">
      <alignment vertical="top"/>
    </xf>
    <xf numFmtId="0" fontId="27" fillId="0" borderId="0" xfId="0" applyFont="1" applyFill="1" applyAlignment="1">
      <alignment vertical="top"/>
    </xf>
    <xf numFmtId="0" fontId="26" fillId="0" borderId="10" xfId="0" quotePrefix="1" applyNumberFormat="1" applyFont="1" applyFill="1" applyBorder="1" applyAlignment="1">
      <alignment horizontal="center" vertical="center"/>
    </xf>
    <xf numFmtId="0" fontId="26" fillId="0" borderId="9" xfId="0" applyNumberFormat="1" applyFont="1" applyFill="1" applyBorder="1" applyAlignment="1">
      <alignment horizontal="center" vertical="center"/>
    </xf>
    <xf numFmtId="0" fontId="26" fillId="0" borderId="9" xfId="0" applyNumberFormat="1" applyFont="1" applyFill="1" applyBorder="1" applyAlignment="1">
      <alignment horizontal="center" vertical="center" wrapText="1"/>
    </xf>
    <xf numFmtId="0" fontId="18" fillId="0" borderId="0" xfId="0" applyNumberFormat="1" applyFont="1" applyFill="1" applyBorder="1" applyAlignment="1" applyProtection="1">
      <alignment horizontal="left" indent="1"/>
    </xf>
    <xf numFmtId="166" fontId="13" fillId="0" borderId="0" xfId="0" quotePrefix="1" applyNumberFormat="1" applyFont="1" applyFill="1" applyAlignment="1">
      <alignment horizontal="center"/>
    </xf>
    <xf numFmtId="178" fontId="12" fillId="0" borderId="0" xfId="0" quotePrefix="1" applyNumberFormat="1" applyFont="1" applyFill="1" applyAlignment="1">
      <alignment horizontal="center" vertical="center"/>
    </xf>
    <xf numFmtId="15" fontId="0" fillId="0" borderId="0" xfId="0" applyNumberFormat="1"/>
    <xf numFmtId="166" fontId="8" fillId="0" borderId="0" xfId="1" quotePrefix="1" applyNumberFormat="1" applyFont="1" applyFill="1" applyBorder="1" applyAlignment="1">
      <alignment horizontal="center"/>
    </xf>
    <xf numFmtId="15" fontId="11" fillId="0" borderId="0" xfId="0" applyNumberFormat="1" applyFont="1"/>
    <xf numFmtId="0" fontId="12" fillId="0" borderId="6" xfId="0" applyFont="1" applyFill="1" applyBorder="1" applyAlignment="1">
      <alignment vertical="top"/>
    </xf>
    <xf numFmtId="0" fontId="12" fillId="0" borderId="4" xfId="0" applyFont="1" applyFill="1" applyBorder="1" applyAlignment="1">
      <alignment vertical="top"/>
    </xf>
    <xf numFmtId="0" fontId="8" fillId="0" borderId="0" xfId="0" applyNumberFormat="1" applyFont="1" applyFill="1" applyAlignment="1">
      <alignment vertical="top"/>
    </xf>
    <xf numFmtId="0" fontId="8" fillId="0" borderId="0" xfId="0" quotePrefix="1" applyFont="1" applyFill="1" applyAlignment="1">
      <alignment horizontal="justify" vertical="justify"/>
    </xf>
    <xf numFmtId="0" fontId="8" fillId="0" borderId="0" xfId="0" quotePrefix="1" applyFont="1" applyFill="1" applyAlignment="1">
      <alignment horizontal="justify" vertical="justify" wrapText="1"/>
    </xf>
    <xf numFmtId="0" fontId="29" fillId="0" borderId="0" xfId="0" applyFont="1"/>
    <xf numFmtId="0" fontId="30" fillId="0" borderId="0" xfId="0" applyFont="1"/>
    <xf numFmtId="4" fontId="29" fillId="0" borderId="0" xfId="0" applyNumberFormat="1" applyFont="1"/>
    <xf numFmtId="166" fontId="29" fillId="0" borderId="0" xfId="1" applyNumberFormat="1" applyFont="1"/>
    <xf numFmtId="166" fontId="30" fillId="0" borderId="2" xfId="1" applyNumberFormat="1" applyFont="1" applyBorder="1"/>
    <xf numFmtId="166" fontId="31" fillId="4" borderId="0" xfId="1" applyNumberFormat="1" applyFont="1" applyFill="1"/>
    <xf numFmtId="166" fontId="29" fillId="0" borderId="0" xfId="0" applyNumberFormat="1" applyFont="1"/>
    <xf numFmtId="3" fontId="29" fillId="0" borderId="0" xfId="0" applyNumberFormat="1" applyFont="1"/>
    <xf numFmtId="166" fontId="30" fillId="0" borderId="3" xfId="1" applyNumberFormat="1" applyFont="1" applyBorder="1"/>
    <xf numFmtId="166" fontId="30" fillId="0" borderId="2" xfId="0" applyNumberFormat="1" applyFont="1" applyBorder="1"/>
    <xf numFmtId="166" fontId="27" fillId="0" borderId="0" xfId="1" applyNumberFormat="1" applyFont="1" applyFill="1" applyAlignment="1">
      <alignment vertical="top"/>
    </xf>
    <xf numFmtId="166" fontId="13" fillId="0" borderId="0" xfId="1" applyNumberFormat="1" applyFont="1" applyFill="1" applyAlignment="1">
      <alignment vertical="top"/>
    </xf>
    <xf numFmtId="166" fontId="12" fillId="2" borderId="0" xfId="1" applyNumberFormat="1" applyFont="1" applyFill="1" applyAlignment="1">
      <alignment vertical="top"/>
    </xf>
    <xf numFmtId="41" fontId="10" fillId="0" borderId="0" xfId="0" applyNumberFormat="1" applyFont="1" applyFill="1" applyAlignment="1">
      <alignment vertical="top"/>
    </xf>
    <xf numFmtId="166" fontId="29" fillId="3" borderId="0" xfId="1" applyNumberFormat="1" applyFont="1" applyFill="1"/>
    <xf numFmtId="166" fontId="31" fillId="4" borderId="0" xfId="1" applyNumberFormat="1" applyFont="1" applyFill="1" applyAlignment="1">
      <alignment horizontal="center"/>
    </xf>
    <xf numFmtId="0" fontId="29" fillId="0" borderId="0" xfId="0" quotePrefix="1" applyFont="1"/>
    <xf numFmtId="0" fontId="29" fillId="0" borderId="14" xfId="0" quotePrefix="1" applyFont="1" applyBorder="1"/>
    <xf numFmtId="0" fontId="29" fillId="0" borderId="15" xfId="0" applyFont="1" applyBorder="1"/>
    <xf numFmtId="166" fontId="29" fillId="0" borderId="15" xfId="1" applyNumberFormat="1" applyFont="1" applyBorder="1"/>
    <xf numFmtId="166" fontId="29" fillId="3" borderId="15" xfId="1" applyNumberFormat="1" applyFont="1" applyFill="1" applyBorder="1"/>
    <xf numFmtId="0" fontId="29" fillId="0" borderId="16" xfId="0" applyFont="1" applyBorder="1"/>
    <xf numFmtId="0" fontId="29" fillId="0" borderId="17" xfId="0" quotePrefix="1" applyFont="1" applyBorder="1"/>
    <xf numFmtId="0" fontId="29" fillId="0" borderId="0" xfId="0" applyFont="1" applyBorder="1"/>
    <xf numFmtId="166" fontId="29" fillId="0" borderId="0" xfId="1" applyNumberFormat="1" applyFont="1" applyBorder="1"/>
    <xf numFmtId="166" fontId="29" fillId="3" borderId="0" xfId="1" applyNumberFormat="1" applyFont="1" applyFill="1" applyBorder="1"/>
    <xf numFmtId="0" fontId="29" fillId="0" borderId="18" xfId="0" applyFont="1" applyBorder="1"/>
    <xf numFmtId="0" fontId="29" fillId="0" borderId="20" xfId="0" applyFont="1" applyBorder="1"/>
    <xf numFmtId="166" fontId="29" fillId="0" borderId="20" xfId="1" applyNumberFormat="1" applyFont="1" applyBorder="1"/>
    <xf numFmtId="166" fontId="29" fillId="3" borderId="20" xfId="1" applyNumberFormat="1" applyFont="1" applyFill="1" applyBorder="1"/>
    <xf numFmtId="0" fontId="29" fillId="0" borderId="21" xfId="0" applyFont="1" applyBorder="1"/>
    <xf numFmtId="0" fontId="29" fillId="0" borderId="17" xfId="0" applyFont="1" applyBorder="1"/>
    <xf numFmtId="0" fontId="29" fillId="0" borderId="19" xfId="0" applyFont="1" applyBorder="1"/>
    <xf numFmtId="166" fontId="29" fillId="5" borderId="0" xfId="1" applyNumberFormat="1" applyFont="1" applyFill="1" applyBorder="1"/>
    <xf numFmtId="166" fontId="30" fillId="0" borderId="0" xfId="1" applyNumberFormat="1" applyFont="1" applyBorder="1"/>
    <xf numFmtId="166" fontId="10" fillId="0" borderId="0" xfId="1" applyNumberFormat="1" applyFont="1" applyFill="1" applyAlignment="1">
      <alignment vertical="top"/>
    </xf>
    <xf numFmtId="166" fontId="13" fillId="0" borderId="0" xfId="1" quotePrefix="1" applyNumberFormat="1" applyFont="1" applyFill="1" applyAlignment="1">
      <alignment horizontal="center"/>
    </xf>
    <xf numFmtId="166" fontId="32" fillId="0" borderId="0" xfId="1" applyNumberFormat="1" applyFont="1" applyFill="1" applyAlignment="1">
      <alignment vertical="top"/>
    </xf>
    <xf numFmtId="166" fontId="32" fillId="0" borderId="0" xfId="1" applyNumberFormat="1" applyFont="1" applyFill="1" applyBorder="1" applyAlignment="1">
      <alignment vertical="top"/>
    </xf>
    <xf numFmtId="166" fontId="10" fillId="0" borderId="0" xfId="1" applyNumberFormat="1" applyFont="1"/>
    <xf numFmtId="166" fontId="10" fillId="0" borderId="0" xfId="0" applyNumberFormat="1" applyFont="1"/>
    <xf numFmtId="166" fontId="30" fillId="0" borderId="22" xfId="0" applyNumberFormat="1" applyFont="1" applyBorder="1"/>
    <xf numFmtId="166" fontId="8" fillId="0" borderId="0" xfId="1" quotePrefix="1" applyNumberFormat="1" applyFont="1" applyFill="1" applyBorder="1" applyAlignment="1">
      <alignment horizontal="justify" vertical="justify" wrapText="1"/>
    </xf>
    <xf numFmtId="166" fontId="29" fillId="0" borderId="18" xfId="0" applyNumberFormat="1" applyFont="1" applyBorder="1"/>
    <xf numFmtId="0" fontId="11" fillId="0" borderId="0" xfId="0" quotePrefix="1" applyFont="1" applyFill="1" applyAlignment="1">
      <alignment horizontal="left"/>
    </xf>
    <xf numFmtId="0" fontId="11" fillId="0" borderId="0" xfId="0" applyNumberFormat="1" applyFont="1" applyFill="1"/>
    <xf numFmtId="41" fontId="8" fillId="0" borderId="0" xfId="0" applyNumberFormat="1" applyFont="1" applyFill="1" applyBorder="1" applyAlignment="1"/>
    <xf numFmtId="0" fontId="8" fillId="0" borderId="0" xfId="0" applyNumberFormat="1" applyFont="1" applyFill="1" applyProtection="1"/>
    <xf numFmtId="166" fontId="8" fillId="0" borderId="0" xfId="0" applyNumberFormat="1" applyFont="1" applyFill="1" applyBorder="1" applyAlignment="1"/>
    <xf numFmtId="166" fontId="11" fillId="0" borderId="0" xfId="0" applyNumberFormat="1" applyFont="1" applyFill="1" applyBorder="1" applyAlignment="1" applyProtection="1"/>
    <xf numFmtId="168" fontId="8" fillId="0" borderId="0" xfId="1" applyNumberFormat="1" applyFont="1" applyFill="1" applyAlignment="1">
      <alignment vertical="top"/>
    </xf>
    <xf numFmtId="166" fontId="11" fillId="0" borderId="0" xfId="0" quotePrefix="1" applyNumberFormat="1" applyFont="1" applyFill="1" applyAlignment="1">
      <alignment horizontal="center"/>
    </xf>
    <xf numFmtId="0" fontId="26" fillId="0" borderId="0" xfId="0" quotePrefix="1" applyNumberFormat="1" applyFont="1" applyFill="1" applyBorder="1" applyAlignment="1">
      <alignment horizontal="left" vertical="top"/>
    </xf>
    <xf numFmtId="0" fontId="27" fillId="0" borderId="0" xfId="0" applyNumberFormat="1" applyFont="1" applyFill="1" applyBorder="1" applyAlignment="1">
      <alignment vertical="top"/>
    </xf>
    <xf numFmtId="0" fontId="26" fillId="0" borderId="9" xfId="0" applyNumberFormat="1" applyFont="1" applyFill="1" applyBorder="1" applyAlignment="1" applyProtection="1">
      <alignment horizontal="center" vertical="center" wrapText="1"/>
    </xf>
    <xf numFmtId="0" fontId="27" fillId="0" borderId="0" xfId="0" applyFont="1"/>
    <xf numFmtId="0" fontId="26" fillId="0" borderId="0" xfId="0" applyFont="1" applyAlignment="1">
      <alignment horizontal="center"/>
    </xf>
    <xf numFmtId="0" fontId="27" fillId="0" borderId="0" xfId="0" applyFont="1" applyBorder="1" applyAlignment="1">
      <alignment vertical="top"/>
    </xf>
    <xf numFmtId="166" fontId="27" fillId="0" borderId="0" xfId="0" applyNumberFormat="1" applyFont="1" applyFill="1" applyBorder="1" applyAlignment="1">
      <alignment vertical="top"/>
    </xf>
    <xf numFmtId="0" fontId="12" fillId="0" borderId="0" xfId="0" applyNumberFormat="1" applyFont="1" applyFill="1" applyBorder="1" applyAlignment="1">
      <alignment horizontal="left" indent="1"/>
    </xf>
    <xf numFmtId="0" fontId="16" fillId="0" borderId="0" xfId="0" applyNumberFormat="1" applyFont="1" applyFill="1" applyBorder="1" applyAlignment="1" applyProtection="1">
      <alignment horizontal="left" indent="1"/>
    </xf>
    <xf numFmtId="166" fontId="0" fillId="0" borderId="0" xfId="1" applyNumberFormat="1" applyFont="1"/>
    <xf numFmtId="166" fontId="0" fillId="0" borderId="0" xfId="0" applyNumberFormat="1"/>
    <xf numFmtId="41" fontId="0" fillId="0" borderId="0" xfId="0" applyNumberFormat="1"/>
    <xf numFmtId="0" fontId="8" fillId="0" borderId="0" xfId="0" applyFont="1" applyFill="1" applyAlignment="1">
      <alignment horizontal="justify" vertical="top" wrapText="1"/>
    </xf>
    <xf numFmtId="0" fontId="8" fillId="0" borderId="0" xfId="0" quotePrefix="1" applyFont="1" applyFill="1" applyAlignment="1">
      <alignment horizontal="justify" vertical="top"/>
    </xf>
    <xf numFmtId="0" fontId="8" fillId="0" borderId="0" xfId="0" quotePrefix="1" applyFont="1" applyFill="1" applyAlignment="1">
      <alignment horizontal="justify" vertical="justify"/>
    </xf>
    <xf numFmtId="0" fontId="8" fillId="0" borderId="0" xfId="0" applyNumberFormat="1" applyFont="1" applyFill="1" applyAlignment="1">
      <alignment vertical="top"/>
    </xf>
    <xf numFmtId="0" fontId="8" fillId="0" borderId="0" xfId="0" quotePrefix="1" applyFont="1" applyFill="1" applyAlignment="1">
      <alignment horizontal="justify" vertical="justify" wrapText="1"/>
    </xf>
    <xf numFmtId="37" fontId="12" fillId="0" borderId="0" xfId="0" applyNumberFormat="1" applyFont="1" applyFill="1" applyProtection="1"/>
    <xf numFmtId="166" fontId="33" fillId="0" borderId="0" xfId="0" applyNumberFormat="1" applyFont="1" applyFill="1" applyAlignment="1">
      <alignment vertical="top"/>
    </xf>
    <xf numFmtId="0" fontId="20" fillId="0" borderId="0" xfId="0" quotePrefix="1" applyFont="1" applyFill="1" applyAlignment="1" applyProtection="1">
      <alignment horizontal="left" vertical="top"/>
      <protection locked="0"/>
    </xf>
    <xf numFmtId="37" fontId="11" fillId="0" borderId="0" xfId="0" quotePrefix="1" applyNumberFormat="1" applyFont="1" applyFill="1" applyAlignment="1" applyProtection="1">
      <alignment horizontal="center"/>
    </xf>
    <xf numFmtId="0" fontId="11" fillId="0" borderId="0" xfId="0" applyFont="1" applyFill="1" applyBorder="1" applyAlignment="1" applyProtection="1">
      <alignment vertical="top"/>
      <protection locked="0"/>
    </xf>
    <xf numFmtId="43" fontId="10" fillId="0" borderId="0" xfId="1" applyNumberFormat="1" applyFont="1" applyFill="1" applyAlignment="1">
      <alignment vertical="top"/>
    </xf>
    <xf numFmtId="1" fontId="8" fillId="0" borderId="0" xfId="0" applyNumberFormat="1" applyFont="1" applyFill="1" applyAlignment="1">
      <alignment horizontal="center" vertical="top"/>
    </xf>
    <xf numFmtId="0" fontId="11" fillId="0" borderId="0" xfId="0" applyFont="1" applyFill="1" applyAlignment="1">
      <alignment horizontal="left" vertical="top" indent="1"/>
    </xf>
    <xf numFmtId="166" fontId="12" fillId="0" borderId="0" xfId="0" applyNumberFormat="1" applyFont="1" applyFill="1" applyAlignment="1">
      <alignment vertical="top"/>
    </xf>
    <xf numFmtId="1" fontId="11" fillId="0" borderId="0" xfId="0" quotePrefix="1" applyNumberFormat="1" applyFont="1" applyFill="1" applyBorder="1" applyAlignment="1">
      <alignment horizontal="left" vertical="top"/>
    </xf>
    <xf numFmtId="10" fontId="12" fillId="0" borderId="0" xfId="2" applyNumberFormat="1" applyFont="1" applyFill="1" applyBorder="1" applyAlignment="1">
      <alignment vertical="top"/>
    </xf>
    <xf numFmtId="0" fontId="8" fillId="0" borderId="0" xfId="0" applyNumberFormat="1" applyFont="1" applyFill="1" applyAlignment="1">
      <alignment vertical="top"/>
    </xf>
    <xf numFmtId="0" fontId="8" fillId="0" borderId="0" xfId="0" quotePrefix="1" applyFont="1" applyFill="1" applyAlignment="1">
      <alignment horizontal="justify" vertical="top"/>
    </xf>
    <xf numFmtId="0" fontId="35" fillId="0" borderId="0" xfId="0" applyFont="1" applyFill="1"/>
    <xf numFmtId="178" fontId="36" fillId="0" borderId="0" xfId="1" applyNumberFormat="1" applyFont="1"/>
    <xf numFmtId="0" fontId="0" fillId="2" borderId="0" xfId="0" applyFill="1"/>
    <xf numFmtId="0" fontId="37" fillId="0" borderId="0" xfId="0" applyFont="1"/>
    <xf numFmtId="0" fontId="36" fillId="0" borderId="0" xfId="0" applyFont="1"/>
    <xf numFmtId="1" fontId="0" fillId="0" borderId="0" xfId="0" applyNumberFormat="1"/>
    <xf numFmtId="0" fontId="0" fillId="0" borderId="2" xfId="0" applyBorder="1"/>
    <xf numFmtId="1" fontId="0" fillId="0" borderId="2" xfId="0" applyNumberFormat="1" applyBorder="1"/>
    <xf numFmtId="166" fontId="0" fillId="0" borderId="2" xfId="0" applyNumberFormat="1" applyBorder="1"/>
    <xf numFmtId="174" fontId="8" fillId="0" borderId="0" xfId="0" quotePrefix="1" applyNumberFormat="1" applyFont="1" applyFill="1" applyBorder="1" applyAlignment="1" applyProtection="1">
      <alignment horizontal="center" vertical="top"/>
    </xf>
    <xf numFmtId="43" fontId="29" fillId="5" borderId="0" xfId="1" applyNumberFormat="1" applyFont="1" applyFill="1" applyBorder="1"/>
    <xf numFmtId="1" fontId="12" fillId="0" borderId="0" xfId="0" quotePrefix="1" applyNumberFormat="1" applyFont="1" applyFill="1" applyAlignment="1">
      <alignment horizontal="center" vertical="top"/>
    </xf>
    <xf numFmtId="0" fontId="12" fillId="0" borderId="0" xfId="9" applyNumberFormat="1" applyFont="1" applyFill="1" applyBorder="1" applyAlignment="1"/>
    <xf numFmtId="0" fontId="8" fillId="0" borderId="0" xfId="0" quotePrefix="1" applyFont="1" applyFill="1" applyAlignment="1">
      <alignment vertical="top" wrapText="1"/>
    </xf>
    <xf numFmtId="0" fontId="8" fillId="0" borderId="0" xfId="0" quotePrefix="1" applyFont="1" applyFill="1" applyAlignment="1">
      <alignment horizontal="justify" vertical="top"/>
    </xf>
    <xf numFmtId="166" fontId="11" fillId="0" borderId="0" xfId="0" applyNumberFormat="1" applyFont="1" applyFill="1" applyBorder="1" applyAlignment="1" applyProtection="1">
      <alignment horizontal="center"/>
    </xf>
    <xf numFmtId="0" fontId="8" fillId="0" borderId="0" xfId="0" quotePrefix="1" applyFont="1" applyFill="1" applyBorder="1" applyAlignment="1" applyProtection="1">
      <alignment vertical="top"/>
      <protection locked="0"/>
    </xf>
    <xf numFmtId="0" fontId="8" fillId="0" borderId="0" xfId="0" quotePrefix="1" applyFont="1" applyFill="1" applyBorder="1" applyAlignment="1" applyProtection="1">
      <alignment horizontal="justify" vertical="top"/>
      <protection locked="0"/>
    </xf>
    <xf numFmtId="0" fontId="35" fillId="0" borderId="0" xfId="0" applyNumberFormat="1" applyFont="1" applyFill="1" applyAlignment="1">
      <alignment horizontal="right" vertical="top"/>
    </xf>
    <xf numFmtId="0" fontId="35" fillId="0" borderId="0" xfId="0" applyNumberFormat="1" applyFont="1" applyFill="1" applyAlignment="1"/>
    <xf numFmtId="0" fontId="8" fillId="0" borderId="0" xfId="0" applyFont="1" applyFill="1" applyAlignment="1" applyProtection="1">
      <alignment horizontal="left" vertical="top" wrapText="1"/>
      <protection locked="0"/>
    </xf>
    <xf numFmtId="0" fontId="8" fillId="0" borderId="0" xfId="0" quotePrefix="1" applyFont="1" applyFill="1" applyAlignment="1">
      <alignment vertical="top"/>
    </xf>
    <xf numFmtId="0" fontId="8" fillId="0" borderId="0" xfId="0" applyFont="1" applyFill="1" applyAlignment="1">
      <alignment vertical="top"/>
    </xf>
    <xf numFmtId="166" fontId="12" fillId="0" borderId="0" xfId="0" applyNumberFormat="1" applyFont="1" applyFill="1" applyBorder="1" applyAlignment="1" applyProtection="1">
      <alignment vertical="top"/>
      <protection locked="0"/>
    </xf>
    <xf numFmtId="174" fontId="12" fillId="0" borderId="0" xfId="0" quotePrefix="1" applyNumberFormat="1" applyFont="1" applyFill="1" applyAlignment="1">
      <alignment horizontal="center" vertical="top"/>
    </xf>
    <xf numFmtId="3" fontId="0" fillId="0" borderId="0" xfId="0" applyNumberFormat="1"/>
    <xf numFmtId="0" fontId="11" fillId="0" borderId="9" xfId="0" applyFont="1" applyBorder="1" applyAlignment="1">
      <alignment horizontal="center"/>
    </xf>
    <xf numFmtId="0" fontId="8" fillId="0" borderId="9" xfId="0" quotePrefix="1" applyFont="1" applyBorder="1" applyAlignment="1">
      <alignment vertical="center" wrapText="1"/>
    </xf>
    <xf numFmtId="0" fontId="50" fillId="0" borderId="9" xfId="0" applyFont="1" applyBorder="1" applyAlignment="1">
      <alignment horizontal="center" vertical="center"/>
    </xf>
    <xf numFmtId="3" fontId="50" fillId="0" borderId="9" xfId="0" applyNumberFormat="1" applyFont="1" applyBorder="1" applyAlignment="1">
      <alignment horizontal="center" vertical="center"/>
    </xf>
    <xf numFmtId="0" fontId="0" fillId="0" borderId="9" xfId="0" applyBorder="1"/>
    <xf numFmtId="166" fontId="0" fillId="0" borderId="9" xfId="1" applyNumberFormat="1" applyFont="1" applyBorder="1" applyAlignment="1">
      <alignment horizontal="center" vertical="center"/>
    </xf>
    <xf numFmtId="3" fontId="21" fillId="0" borderId="9" xfId="0" applyNumberFormat="1" applyFont="1" applyBorder="1" applyAlignment="1">
      <alignment horizontal="center" vertical="center"/>
    </xf>
    <xf numFmtId="166" fontId="8" fillId="0" borderId="9" xfId="1" applyNumberFormat="1" applyFont="1" applyBorder="1" applyAlignment="1">
      <alignment horizontal="center" vertical="center"/>
    </xf>
    <xf numFmtId="0" fontId="21" fillId="0" borderId="9" xfId="0" applyFont="1" applyBorder="1" applyAlignment="1">
      <alignment horizontal="center" vertical="center" wrapText="1"/>
    </xf>
    <xf numFmtId="0" fontId="11" fillId="0" borderId="0" xfId="0" applyFont="1" applyFill="1" applyAlignment="1">
      <alignment vertical="top"/>
    </xf>
    <xf numFmtId="0" fontId="8" fillId="0" borderId="9" xfId="0" applyFont="1" applyBorder="1" applyAlignment="1"/>
    <xf numFmtId="0" fontId="54" fillId="0" borderId="0" xfId="0" applyFont="1"/>
    <xf numFmtId="0" fontId="55" fillId="0" borderId="9" xfId="0" applyFont="1" applyBorder="1" applyAlignment="1">
      <alignment horizontal="center"/>
    </xf>
    <xf numFmtId="0" fontId="54" fillId="0" borderId="9" xfId="0" applyFont="1" applyBorder="1" applyAlignment="1">
      <alignment vertical="center"/>
    </xf>
    <xf numFmtId="0" fontId="56" fillId="0" borderId="9" xfId="0" applyFont="1" applyBorder="1" applyAlignment="1">
      <alignment horizontal="center" vertical="center"/>
    </xf>
    <xf numFmtId="3" fontId="56" fillId="0" borderId="9" xfId="0" applyNumberFormat="1" applyFont="1" applyBorder="1" applyAlignment="1">
      <alignment horizontal="center" vertical="center"/>
    </xf>
    <xf numFmtId="0" fontId="54" fillId="0" borderId="9" xfId="0" applyFont="1" applyBorder="1"/>
    <xf numFmtId="166" fontId="30" fillId="0" borderId="0" xfId="0" applyNumberFormat="1" applyFont="1" applyBorder="1"/>
    <xf numFmtId="4" fontId="8" fillId="0" borderId="0" xfId="0" applyNumberFormat="1" applyFont="1" applyFill="1" applyAlignment="1">
      <alignment vertical="top"/>
    </xf>
    <xf numFmtId="43" fontId="8" fillId="0" borderId="0" xfId="1" applyFont="1" applyFill="1" applyAlignment="1">
      <alignment vertical="top"/>
    </xf>
    <xf numFmtId="166" fontId="29" fillId="2" borderId="0" xfId="1" applyNumberFormat="1" applyFont="1" applyFill="1" applyBorder="1"/>
    <xf numFmtId="166" fontId="29" fillId="2" borderId="15" xfId="1" applyNumberFormat="1" applyFont="1" applyFill="1" applyBorder="1"/>
    <xf numFmtId="41" fontId="8" fillId="0" borderId="3" xfId="1" applyNumberFormat="1" applyFont="1" applyFill="1" applyBorder="1" applyAlignment="1">
      <alignment vertical="top"/>
    </xf>
    <xf numFmtId="10" fontId="8" fillId="0" borderId="0" xfId="2" applyNumberFormat="1" applyFont="1" applyFill="1" applyAlignment="1">
      <alignment vertical="top"/>
    </xf>
    <xf numFmtId="41" fontId="8" fillId="0" borderId="0" xfId="1" applyNumberFormat="1" applyFont="1" applyFill="1" applyAlignment="1">
      <alignment vertical="top"/>
    </xf>
    <xf numFmtId="41" fontId="8" fillId="0" borderId="5" xfId="0" applyNumberFormat="1" applyFont="1" applyFill="1" applyBorder="1"/>
    <xf numFmtId="166" fontId="8" fillId="0" borderId="0" xfId="1" applyNumberFormat="1" applyFont="1" applyFill="1" applyAlignment="1">
      <alignment vertical="top"/>
    </xf>
    <xf numFmtId="176" fontId="12" fillId="0" borderId="0" xfId="0" applyNumberFormat="1" applyFont="1" applyFill="1" applyBorder="1" applyAlignment="1">
      <alignment vertical="top"/>
    </xf>
    <xf numFmtId="43" fontId="12" fillId="0" borderId="0" xfId="1" applyFont="1" applyFill="1" applyBorder="1" applyAlignment="1">
      <alignment vertical="top"/>
    </xf>
    <xf numFmtId="176" fontId="12" fillId="0" borderId="0" xfId="0" applyNumberFormat="1" applyFont="1" applyFill="1" applyAlignment="1">
      <alignment vertical="top"/>
    </xf>
    <xf numFmtId="0" fontId="12" fillId="0" borderId="0" xfId="0" applyFont="1" applyFill="1" applyAlignment="1">
      <alignment vertical="top"/>
    </xf>
    <xf numFmtId="0" fontId="12" fillId="0" borderId="0" xfId="0" applyFont="1" applyFill="1" applyBorder="1" applyAlignment="1">
      <alignment vertical="top"/>
    </xf>
    <xf numFmtId="0" fontId="12" fillId="0" borderId="0" xfId="0" applyFont="1" applyFill="1" applyAlignment="1">
      <alignment horizontal="left" vertical="top"/>
    </xf>
    <xf numFmtId="176" fontId="12" fillId="0" borderId="0" xfId="1" applyNumberFormat="1" applyFont="1" applyFill="1" applyAlignment="1"/>
    <xf numFmtId="176" fontId="12" fillId="0" borderId="0" xfId="1" applyNumberFormat="1" applyFont="1" applyFill="1" applyAlignment="1" applyProtection="1">
      <protection locked="0"/>
    </xf>
    <xf numFmtId="166" fontId="12" fillId="0" borderId="0" xfId="1" applyNumberFormat="1" applyFont="1" applyFill="1" applyAlignment="1" applyProtection="1">
      <protection locked="0"/>
    </xf>
    <xf numFmtId="0" fontId="8" fillId="0" borderId="0" xfId="0" applyFont="1" applyFill="1" applyAlignment="1">
      <alignment vertical="top"/>
    </xf>
    <xf numFmtId="41" fontId="8" fillId="0" borderId="0" xfId="0" applyNumberFormat="1" applyFont="1" applyFill="1" applyBorder="1" applyAlignment="1">
      <alignment vertical="top"/>
    </xf>
    <xf numFmtId="0" fontId="8" fillId="0" borderId="0" xfId="0" applyNumberFormat="1" applyFont="1" applyFill="1" applyAlignment="1">
      <alignment vertical="top"/>
    </xf>
    <xf numFmtId="0" fontId="8" fillId="0" borderId="0" xfId="0" quotePrefix="1" applyFont="1" applyAlignment="1">
      <alignment horizontal="left"/>
    </xf>
    <xf numFmtId="0" fontId="8" fillId="0" borderId="0" xfId="0" quotePrefix="1" applyFont="1" applyAlignment="1">
      <alignment horizontal="left" indent="1"/>
    </xf>
    <xf numFmtId="0" fontId="11" fillId="0" borderId="0" xfId="91" applyFont="1">
      <alignment vertical="top"/>
      <protection locked="0"/>
    </xf>
    <xf numFmtId="0" fontId="8" fillId="0" borderId="0" xfId="0" applyFont="1" applyAlignment="1">
      <alignment vertical="top"/>
    </xf>
    <xf numFmtId="1" fontId="11" fillId="0" borderId="0" xfId="0" quotePrefix="1" applyNumberFormat="1" applyFont="1" applyAlignment="1">
      <alignment horizontal="left" vertical="top"/>
    </xf>
    <xf numFmtId="0" fontId="29" fillId="2" borderId="17" xfId="0" quotePrefix="1" applyFont="1" applyFill="1" applyBorder="1"/>
    <xf numFmtId="0" fontId="29" fillId="2" borderId="0" xfId="0" applyFont="1" applyFill="1" applyBorder="1"/>
    <xf numFmtId="0" fontId="29" fillId="0" borderId="17" xfId="0" quotePrefix="1" applyFont="1" applyFill="1" applyBorder="1"/>
    <xf numFmtId="0" fontId="29" fillId="0" borderId="0" xfId="0" applyFont="1" applyFill="1" applyBorder="1"/>
    <xf numFmtId="166" fontId="29" fillId="0" borderId="0" xfId="1" applyNumberFormat="1" applyFont="1" applyFill="1" applyBorder="1"/>
    <xf numFmtId="0" fontId="29" fillId="0" borderId="0" xfId="0" applyFont="1" applyFill="1"/>
    <xf numFmtId="166" fontId="29" fillId="0" borderId="0" xfId="1" applyNumberFormat="1" applyFont="1" applyFill="1"/>
    <xf numFmtId="0" fontId="31" fillId="0" borderId="0" xfId="0" applyFont="1" applyFill="1"/>
    <xf numFmtId="166" fontId="31" fillId="0" borderId="0" xfId="1" applyNumberFormat="1" applyFont="1" applyFill="1" applyAlignment="1">
      <alignment horizontal="center"/>
    </xf>
    <xf numFmtId="0" fontId="30" fillId="0" borderId="0" xfId="0" applyFont="1" applyFill="1"/>
    <xf numFmtId="0" fontId="29" fillId="0" borderId="14" xfId="0" quotePrefix="1" applyFont="1" applyFill="1" applyBorder="1"/>
    <xf numFmtId="0" fontId="29" fillId="0" borderId="15" xfId="0" applyFont="1" applyFill="1" applyBorder="1"/>
    <xf numFmtId="166" fontId="29" fillId="0" borderId="15" xfId="1" applyNumberFormat="1" applyFont="1" applyFill="1" applyBorder="1"/>
    <xf numFmtId="0" fontId="29" fillId="0" borderId="19" xfId="0" quotePrefix="1" applyFont="1" applyFill="1" applyBorder="1"/>
    <xf numFmtId="0" fontId="29" fillId="0" borderId="20" xfId="0" applyFont="1" applyFill="1" applyBorder="1"/>
    <xf numFmtId="166" fontId="29" fillId="0" borderId="20" xfId="1" applyNumberFormat="1" applyFont="1" applyFill="1" applyBorder="1"/>
    <xf numFmtId="0" fontId="29" fillId="0" borderId="0" xfId="0" quotePrefix="1" applyFont="1" applyFill="1" applyBorder="1"/>
    <xf numFmtId="0" fontId="30" fillId="0" borderId="0" xfId="0" quotePrefix="1" applyFont="1" applyFill="1" applyBorder="1"/>
    <xf numFmtId="0" fontId="29" fillId="0" borderId="0" xfId="0" quotePrefix="1" applyFont="1" applyFill="1"/>
    <xf numFmtId="0" fontId="30" fillId="0" borderId="0" xfId="0" quotePrefix="1" applyFont="1" applyFill="1"/>
    <xf numFmtId="0" fontId="29" fillId="2" borderId="18" xfId="0" applyFont="1" applyFill="1" applyBorder="1"/>
    <xf numFmtId="0" fontId="29" fillId="2" borderId="0" xfId="0" applyFont="1" applyFill="1"/>
    <xf numFmtId="0" fontId="29" fillId="37" borderId="17" xfId="0" quotePrefix="1" applyFont="1" applyFill="1" applyBorder="1"/>
    <xf numFmtId="0" fontId="29" fillId="37" borderId="0" xfId="0" applyFont="1" applyFill="1" applyBorder="1"/>
    <xf numFmtId="166" fontId="29" fillId="37" borderId="0" xfId="1" applyNumberFormat="1" applyFont="1" applyFill="1" applyBorder="1"/>
    <xf numFmtId="0" fontId="29" fillId="37" borderId="18" xfId="0" applyFont="1" applyFill="1" applyBorder="1"/>
    <xf numFmtId="0" fontId="29" fillId="37" borderId="0" xfId="0" applyFont="1" applyFill="1"/>
    <xf numFmtId="166" fontId="12" fillId="37" borderId="3" xfId="1" applyNumberFormat="1" applyFont="1" applyFill="1" applyBorder="1" applyAlignment="1">
      <alignment vertical="top"/>
    </xf>
    <xf numFmtId="0" fontId="8" fillId="36" borderId="0" xfId="0" applyFont="1" applyFill="1"/>
    <xf numFmtId="17" fontId="12" fillId="0" borderId="0" xfId="0" applyNumberFormat="1" applyFont="1" applyFill="1" applyAlignment="1">
      <alignment vertical="top"/>
    </xf>
    <xf numFmtId="43" fontId="0" fillId="0" borderId="0" xfId="0" applyNumberFormat="1"/>
    <xf numFmtId="166" fontId="0" fillId="2" borderId="0" xfId="1" applyNumberFormat="1" applyFont="1" applyFill="1"/>
    <xf numFmtId="166" fontId="13" fillId="0" borderId="9" xfId="1" applyNumberFormat="1" applyFont="1" applyFill="1" applyBorder="1" applyAlignment="1">
      <alignment vertical="top"/>
    </xf>
    <xf numFmtId="0" fontId="13" fillId="0" borderId="9" xfId="0" applyFont="1" applyFill="1" applyBorder="1" applyAlignment="1">
      <alignment vertical="top"/>
    </xf>
    <xf numFmtId="0" fontId="12" fillId="0" borderId="9" xfId="0" applyFont="1" applyFill="1" applyBorder="1" applyAlignment="1">
      <alignment vertical="top"/>
    </xf>
    <xf numFmtId="171" fontId="12" fillId="0" borderId="9" xfId="0" applyNumberFormat="1" applyFont="1" applyFill="1" applyBorder="1" applyAlignment="1">
      <alignment vertical="top"/>
    </xf>
    <xf numFmtId="166" fontId="12" fillId="0" borderId="9" xfId="1" applyNumberFormat="1" applyFont="1" applyFill="1" applyBorder="1" applyAlignment="1">
      <alignment vertical="top"/>
    </xf>
    <xf numFmtId="179" fontId="12" fillId="0" borderId="9" xfId="0" applyNumberFormat="1" applyFont="1" applyFill="1" applyBorder="1" applyAlignment="1">
      <alignment vertical="top"/>
    </xf>
    <xf numFmtId="43" fontId="12" fillId="0" borderId="9" xfId="0" applyNumberFormat="1" applyFont="1" applyFill="1" applyBorder="1" applyAlignment="1">
      <alignment vertical="top"/>
    </xf>
    <xf numFmtId="0" fontId="11" fillId="0" borderId="0" xfId="0" applyFont="1" applyFill="1" applyAlignment="1"/>
    <xf numFmtId="166" fontId="8" fillId="0" borderId="5" xfId="1" applyNumberFormat="1" applyFont="1" applyFill="1" applyBorder="1" applyAlignment="1">
      <alignment vertical="top"/>
    </xf>
    <xf numFmtId="166" fontId="12" fillId="0" borderId="0" xfId="0" applyNumberFormat="1" applyFont="1" applyFill="1"/>
    <xf numFmtId="0" fontId="12" fillId="0" borderId="0" xfId="0" applyFont="1" applyFill="1" applyBorder="1"/>
    <xf numFmtId="166" fontId="12" fillId="0" borderId="2" xfId="0" applyNumberFormat="1" applyFont="1" applyFill="1" applyBorder="1" applyAlignment="1" applyProtection="1">
      <alignment vertical="top"/>
      <protection locked="0"/>
    </xf>
    <xf numFmtId="166" fontId="12" fillId="0" borderId="6" xfId="0" applyNumberFormat="1" applyFont="1" applyFill="1" applyBorder="1" applyAlignment="1" applyProtection="1">
      <alignment horizontal="center" vertical="top"/>
      <protection locked="0"/>
    </xf>
    <xf numFmtId="166" fontId="12" fillId="0" borderId="4" xfId="0" applyNumberFormat="1" applyFont="1" applyFill="1" applyBorder="1" applyAlignment="1" applyProtection="1">
      <alignment horizontal="center" vertical="top"/>
      <protection locked="0"/>
    </xf>
    <xf numFmtId="166" fontId="12" fillId="0" borderId="2" xfId="0" applyNumberFormat="1" applyFont="1" applyFill="1" applyBorder="1" applyAlignment="1" applyProtection="1">
      <alignment horizontal="center" vertical="top"/>
      <protection locked="0"/>
    </xf>
    <xf numFmtId="166" fontId="12" fillId="0" borderId="0" xfId="0" applyNumberFormat="1" applyFont="1" applyFill="1" applyBorder="1" applyAlignment="1" applyProtection="1">
      <alignment horizontal="center" vertical="top"/>
    </xf>
    <xf numFmtId="0" fontId="57" fillId="0" borderId="0" xfId="0" applyFont="1" applyFill="1" applyAlignment="1"/>
    <xf numFmtId="0" fontId="57" fillId="0" borderId="0" xfId="68" quotePrefix="1" applyFont="1" applyFill="1" applyAlignment="1" applyProtection="1">
      <alignment horizontal="left" indent="1"/>
    </xf>
    <xf numFmtId="3" fontId="21" fillId="0" borderId="9" xfId="0" applyNumberFormat="1" applyFont="1" applyFill="1" applyBorder="1" applyAlignment="1">
      <alignment horizontal="center" vertical="center"/>
    </xf>
    <xf numFmtId="0" fontId="8" fillId="0" borderId="9" xfId="0" applyFont="1" applyFill="1" applyBorder="1" applyAlignment="1">
      <alignment vertical="center"/>
    </xf>
    <xf numFmtId="166" fontId="8" fillId="0" borderId="9" xfId="1" applyNumberFormat="1" applyFont="1" applyFill="1" applyBorder="1" applyAlignment="1">
      <alignment horizontal="center" vertical="center"/>
    </xf>
    <xf numFmtId="15" fontId="8" fillId="0" borderId="0" xfId="0" applyNumberFormat="1" applyFont="1" applyFill="1"/>
    <xf numFmtId="41" fontId="12" fillId="0" borderId="0" xfId="0" applyNumberFormat="1" applyFont="1" applyFill="1" applyBorder="1" applyAlignment="1">
      <alignment vertical="top"/>
    </xf>
    <xf numFmtId="0" fontId="8" fillId="0" borderId="0" xfId="0" quotePrefix="1" applyFont="1" applyFill="1" applyAlignment="1">
      <alignment horizontal="justify" vertical="top"/>
    </xf>
    <xf numFmtId="0" fontId="8" fillId="38" borderId="0" xfId="0" applyFont="1" applyFill="1" applyAlignment="1">
      <alignment horizontal="justify" vertical="top"/>
    </xf>
    <xf numFmtId="0" fontId="23" fillId="38" borderId="0" xfId="0" quotePrefix="1" applyNumberFormat="1" applyFont="1" applyFill="1" applyAlignment="1">
      <alignment horizontal="justify" vertical="top"/>
    </xf>
    <xf numFmtId="0" fontId="23" fillId="38" borderId="0" xfId="0" applyFont="1" applyFill="1" applyAlignment="1">
      <alignment horizontal="justify" vertical="justify" wrapText="1"/>
    </xf>
    <xf numFmtId="0" fontId="21" fillId="38" borderId="0" xfId="0" quotePrefix="1" applyNumberFormat="1" applyFont="1" applyFill="1" applyAlignment="1">
      <alignment vertical="top"/>
    </xf>
    <xf numFmtId="0" fontId="8" fillId="38" borderId="0" xfId="0" quotePrefix="1" applyFont="1" applyFill="1" applyAlignment="1">
      <alignment vertical="top" wrapText="1"/>
    </xf>
    <xf numFmtId="0" fontId="8" fillId="0" borderId="0" xfId="0" quotePrefix="1" applyFont="1" applyFill="1" applyAlignment="1"/>
    <xf numFmtId="0" fontId="8" fillId="0" borderId="0" xfId="3" applyFont="1" applyFill="1" applyAlignment="1">
      <alignment vertical="top"/>
    </xf>
    <xf numFmtId="0" fontId="8" fillId="0" borderId="0" xfId="3" applyFont="1" applyFill="1" applyAlignment="1">
      <alignment horizontal="left" vertical="top"/>
    </xf>
    <xf numFmtId="0" fontId="8" fillId="0" borderId="0" xfId="3" quotePrefix="1" applyFont="1" applyFill="1" applyAlignment="1">
      <alignment vertical="top"/>
    </xf>
    <xf numFmtId="0" fontId="23" fillId="0" borderId="0" xfId="97" applyNumberFormat="1" applyFont="1" applyFill="1" applyAlignment="1">
      <alignment horizontal="justify" vertical="justify"/>
    </xf>
    <xf numFmtId="0" fontId="61" fillId="0" borderId="0" xfId="0" applyFont="1" applyAlignment="1">
      <alignment vertical="top" wrapText="1"/>
    </xf>
    <xf numFmtId="166" fontId="8" fillId="0" borderId="2" xfId="1" applyNumberFormat="1" applyFont="1" applyFill="1" applyBorder="1" applyAlignment="1" applyProtection="1">
      <alignment vertical="top"/>
    </xf>
    <xf numFmtId="0" fontId="8" fillId="0" borderId="0" xfId="88" applyFont="1" applyFill="1" applyAlignment="1" applyProtection="1">
      <alignment vertical="top"/>
      <protection locked="0"/>
    </xf>
    <xf numFmtId="0" fontId="8" fillId="0" borderId="0" xfId="88" applyFont="1" applyFill="1" applyAlignment="1">
      <alignment vertical="top"/>
    </xf>
    <xf numFmtId="0" fontId="34" fillId="0" borderId="0" xfId="0" applyFont="1" applyFill="1" applyAlignment="1">
      <alignment vertical="top" wrapText="1"/>
    </xf>
    <xf numFmtId="43" fontId="12" fillId="0" borderId="0" xfId="1" applyNumberFormat="1" applyFont="1" applyFill="1" applyBorder="1" applyAlignment="1">
      <alignment vertical="top"/>
    </xf>
    <xf numFmtId="164" fontId="27" fillId="0" borderId="0" xfId="0" applyNumberFormat="1" applyFont="1" applyFill="1" applyAlignment="1">
      <alignment vertical="top"/>
    </xf>
    <xf numFmtId="182" fontId="0" fillId="0" borderId="0" xfId="1" applyNumberFormat="1" applyFont="1"/>
    <xf numFmtId="0" fontId="8" fillId="0" borderId="0" xfId="88" applyFont="1" applyFill="1" applyAlignment="1" applyProtection="1">
      <alignment vertical="justify"/>
      <protection locked="0"/>
    </xf>
    <xf numFmtId="0" fontId="8" fillId="0" borderId="0" xfId="0" applyFont="1" applyFill="1" applyAlignment="1" applyProtection="1">
      <alignment horizontal="justify" vertical="top"/>
      <protection locked="0"/>
    </xf>
    <xf numFmtId="0" fontId="8" fillId="0" borderId="0" xfId="0" applyNumberFormat="1" applyFont="1" applyFill="1" applyAlignment="1">
      <alignment vertical="top"/>
    </xf>
    <xf numFmtId="170" fontId="8" fillId="0" borderId="0" xfId="1" applyNumberFormat="1" applyFont="1" applyFill="1" applyAlignment="1">
      <alignment vertical="top"/>
    </xf>
    <xf numFmtId="1" fontId="21" fillId="0" borderId="0" xfId="0" quotePrefix="1" applyNumberFormat="1" applyFont="1" applyAlignment="1">
      <alignment horizontal="left" vertical="top"/>
    </xf>
    <xf numFmtId="15" fontId="12" fillId="0" borderId="0" xfId="1" applyNumberFormat="1" applyFont="1" applyFill="1" applyBorder="1" applyAlignment="1">
      <alignment vertical="top"/>
    </xf>
    <xf numFmtId="15" fontId="12" fillId="0" borderId="0" xfId="0" applyNumberFormat="1" applyFont="1" applyFill="1" applyBorder="1" applyAlignment="1">
      <alignment vertical="top"/>
    </xf>
    <xf numFmtId="166" fontId="12" fillId="0" borderId="0" xfId="0" applyNumberFormat="1" applyFont="1" applyFill="1" applyBorder="1" applyAlignment="1">
      <alignment vertical="top"/>
    </xf>
    <xf numFmtId="3" fontId="8" fillId="0" borderId="0" xfId="0" applyNumberFormat="1" applyFont="1" applyFill="1" applyAlignment="1">
      <alignment vertical="top"/>
    </xf>
    <xf numFmtId="0" fontId="29" fillId="38" borderId="17" xfId="0" quotePrefix="1" applyFont="1" applyFill="1" applyBorder="1"/>
    <xf numFmtId="0" fontId="29" fillId="38" borderId="0" xfId="0" applyFont="1" applyFill="1" applyBorder="1"/>
    <xf numFmtId="166" fontId="29" fillId="38" borderId="0" xfId="1" applyNumberFormat="1" applyFont="1" applyFill="1" applyBorder="1"/>
    <xf numFmtId="0" fontId="29" fillId="38" borderId="18" xfId="0" applyFont="1" applyFill="1" applyBorder="1"/>
    <xf numFmtId="0" fontId="29" fillId="38" borderId="0" xfId="0" applyFont="1" applyFill="1"/>
    <xf numFmtId="166" fontId="29" fillId="38" borderId="0" xfId="0" applyNumberFormat="1" applyFont="1" applyFill="1"/>
    <xf numFmtId="0" fontId="29" fillId="38" borderId="17" xfId="0" applyFont="1" applyFill="1" applyBorder="1"/>
    <xf numFmtId="166" fontId="26" fillId="0" borderId="0" xfId="0" quotePrefix="1" applyNumberFormat="1" applyFont="1" applyFill="1" applyBorder="1" applyAlignment="1">
      <alignment horizontal="center"/>
    </xf>
    <xf numFmtId="0" fontId="8" fillId="0" borderId="0" xfId="0" applyFont="1" applyFill="1" applyAlignment="1">
      <alignment horizontal="justify" vertical="top" wrapText="1"/>
    </xf>
    <xf numFmtId="0" fontId="8" fillId="0" borderId="0" xfId="0" applyFont="1" applyFill="1" applyAlignment="1" applyProtection="1">
      <alignment horizontal="justify" vertical="top"/>
      <protection locked="0"/>
    </xf>
    <xf numFmtId="0" fontId="9" fillId="0" borderId="0" xfId="0" applyFont="1"/>
    <xf numFmtId="0" fontId="9" fillId="0" borderId="0" xfId="0" applyFont="1" applyFill="1" applyBorder="1" applyAlignment="1">
      <alignment vertical="top"/>
    </xf>
    <xf numFmtId="166" fontId="9" fillId="0" borderId="0" xfId="0" applyNumberFormat="1" applyFont="1" applyFill="1" applyBorder="1" applyAlignment="1">
      <alignment vertical="top"/>
    </xf>
    <xf numFmtId="10" fontId="9" fillId="0" borderId="0" xfId="2" applyNumberFormat="1" applyFont="1" applyFill="1" applyBorder="1" applyAlignment="1">
      <alignment vertical="top"/>
    </xf>
    <xf numFmtId="0" fontId="62" fillId="0" borderId="0" xfId="0" applyFont="1" applyFill="1" applyBorder="1" applyAlignment="1">
      <alignment vertical="top"/>
    </xf>
    <xf numFmtId="0" fontId="62" fillId="0" borderId="0" xfId="0" applyNumberFormat="1" applyFont="1" applyFill="1" applyBorder="1" applyAlignment="1">
      <alignment vertical="top"/>
    </xf>
    <xf numFmtId="0" fontId="27" fillId="0" borderId="0" xfId="0" applyFont="1" applyAlignment="1">
      <alignment vertical="top"/>
    </xf>
    <xf numFmtId="0" fontId="62" fillId="0" borderId="0" xfId="0" applyFont="1" applyBorder="1" applyAlignment="1">
      <alignment vertical="top"/>
    </xf>
    <xf numFmtId="0" fontId="26" fillId="0" borderId="0" xfId="0" applyFont="1" applyBorder="1" applyAlignment="1">
      <alignment vertical="top"/>
    </xf>
    <xf numFmtId="0" fontId="9" fillId="0" borderId="0" xfId="0" applyFont="1" applyBorder="1" applyAlignment="1">
      <alignment vertical="top"/>
    </xf>
    <xf numFmtId="0" fontId="13" fillId="0" borderId="0" xfId="0" applyFont="1" applyAlignment="1">
      <alignment horizontal="center"/>
    </xf>
    <xf numFmtId="0" fontId="18" fillId="0" borderId="0" xfId="0" applyNumberFormat="1" applyFont="1" applyFill="1" applyBorder="1" applyAlignment="1" applyProtection="1">
      <alignment horizontal="center"/>
    </xf>
    <xf numFmtId="183" fontId="16" fillId="0" borderId="0" xfId="0" applyNumberFormat="1" applyFont="1" applyFill="1" applyBorder="1" applyAlignment="1" applyProtection="1"/>
    <xf numFmtId="166" fontId="16" fillId="0" borderId="0" xfId="0" applyNumberFormat="1" applyFont="1" applyFill="1" applyBorder="1" applyAlignment="1" applyProtection="1"/>
    <xf numFmtId="0" fontId="13" fillId="0" borderId="0" xfId="0" applyFont="1" applyFill="1" applyBorder="1" applyAlignment="1">
      <alignment horizontal="center" vertical="top"/>
    </xf>
    <xf numFmtId="0" fontId="11" fillId="0" borderId="0" xfId="0" applyFont="1" applyAlignment="1">
      <alignment vertical="top"/>
    </xf>
    <xf numFmtId="166" fontId="8" fillId="0" borderId="0" xfId="0" applyNumberFormat="1" applyFont="1" applyFill="1" applyBorder="1" applyAlignment="1">
      <alignment horizontal="justify" vertical="top" wrapText="1"/>
    </xf>
    <xf numFmtId="166" fontId="8" fillId="0" borderId="0" xfId="0" applyNumberFormat="1" applyFont="1" applyFill="1" applyAlignment="1">
      <alignment horizontal="justify" vertical="top" wrapText="1"/>
    </xf>
    <xf numFmtId="0" fontId="13" fillId="0" borderId="0" xfId="94" applyFont="1" applyAlignment="1">
      <alignment horizontal="center" vertical="center" wrapText="1"/>
    </xf>
    <xf numFmtId="0" fontId="13" fillId="0" borderId="0" xfId="94" applyFont="1" applyAlignment="1">
      <alignment horizontal="centerContinuous" vertical="top"/>
    </xf>
    <xf numFmtId="0" fontId="13" fillId="0" borderId="5" xfId="94" applyFont="1" applyBorder="1" applyAlignment="1">
      <alignment horizontal="center" vertical="top"/>
    </xf>
    <xf numFmtId="0" fontId="12" fillId="0" borderId="0" xfId="94" applyFont="1" applyAlignment="1">
      <alignment vertical="top"/>
    </xf>
    <xf numFmtId="0" fontId="13" fillId="0" borderId="0" xfId="94" applyFont="1" applyAlignment="1">
      <alignment horizontal="center" vertical="top"/>
    </xf>
    <xf numFmtId="0" fontId="13" fillId="0" borderId="4" xfId="94" applyFont="1" applyBorder="1" applyAlignment="1">
      <alignment horizontal="center" vertical="top"/>
    </xf>
    <xf numFmtId="0" fontId="13" fillId="0" borderId="0" xfId="94" applyFont="1" applyAlignment="1">
      <alignment horizontal="center" vertical="top" wrapText="1"/>
    </xf>
    <xf numFmtId="0" fontId="12" fillId="0" borderId="0" xfId="94" applyFont="1" applyAlignment="1">
      <alignment horizontal="center" vertical="top" wrapText="1"/>
    </xf>
    <xf numFmtId="0" fontId="12" fillId="0" borderId="0" xfId="94" applyFont="1" applyAlignment="1">
      <alignment horizontal="center" vertical="top"/>
    </xf>
    <xf numFmtId="166" fontId="12" fillId="0" borderId="0" xfId="94" applyNumberFormat="1" applyFont="1" applyAlignment="1">
      <alignment horizontal="center" vertical="top"/>
    </xf>
    <xf numFmtId="0" fontId="12" fillId="0" borderId="0" xfId="94" quotePrefix="1" applyFont="1" applyAlignment="1">
      <alignment horizontal="center" vertical="top"/>
    </xf>
    <xf numFmtId="184" fontId="12" fillId="0" borderId="0" xfId="94" applyNumberFormat="1" applyFont="1" applyAlignment="1">
      <alignment horizontal="center" vertical="center"/>
    </xf>
    <xf numFmtId="179" fontId="12" fillId="0" borderId="0" xfId="94" applyNumberFormat="1" applyFont="1" applyAlignment="1">
      <alignment horizontal="center" vertical="top"/>
    </xf>
    <xf numFmtId="49" fontId="12" fillId="0" borderId="0" xfId="94" applyNumberFormat="1" applyFont="1" applyAlignment="1">
      <alignment horizontal="center" vertical="top"/>
    </xf>
    <xf numFmtId="166" fontId="12" fillId="0" borderId="0" xfId="99" applyNumberFormat="1" applyFont="1" applyFill="1" applyBorder="1" applyAlignment="1">
      <alignment vertical="top"/>
    </xf>
    <xf numFmtId="166" fontId="12" fillId="0" borderId="0" xfId="99" applyNumberFormat="1" applyFont="1" applyFill="1" applyAlignment="1">
      <alignment vertical="top"/>
    </xf>
    <xf numFmtId="0" fontId="35" fillId="0" borderId="0" xfId="94" applyFont="1"/>
    <xf numFmtId="0" fontId="35" fillId="0" borderId="0" xfId="94" applyFont="1" applyFill="1"/>
    <xf numFmtId="0" fontId="14" fillId="0" borderId="9" xfId="94" applyFont="1" applyFill="1" applyBorder="1" applyAlignment="1">
      <alignment horizontal="center" vertical="center" wrapText="1"/>
    </xf>
    <xf numFmtId="0" fontId="13" fillId="0" borderId="0" xfId="94" applyFont="1" applyFill="1" applyAlignment="1">
      <alignment horizontal="centerContinuous" vertical="top"/>
    </xf>
    <xf numFmtId="0" fontId="13" fillId="0" borderId="0" xfId="94" applyFont="1" applyFill="1" applyAlignment="1">
      <alignment horizontal="center" vertical="top"/>
    </xf>
    <xf numFmtId="0" fontId="14" fillId="0" borderId="4" xfId="94" applyFont="1" applyFill="1" applyBorder="1" applyAlignment="1">
      <alignment horizontal="center" vertical="center" wrapText="1"/>
    </xf>
    <xf numFmtId="184" fontId="12" fillId="0" borderId="0" xfId="94" applyNumberFormat="1" applyFont="1" applyFill="1" applyAlignment="1">
      <alignment horizontal="left" vertical="center"/>
    </xf>
    <xf numFmtId="166" fontId="35" fillId="0" borderId="0" xfId="94" applyNumberFormat="1" applyFont="1" applyFill="1"/>
    <xf numFmtId="184" fontId="35" fillId="0" borderId="0" xfId="94" applyNumberFormat="1" applyFont="1" applyFill="1" applyAlignment="1">
      <alignment horizontal="left" vertical="center" wrapText="1"/>
    </xf>
    <xf numFmtId="170" fontId="35" fillId="0" borderId="0" xfId="99" applyNumberFormat="1" applyFont="1" applyFill="1" applyAlignment="1">
      <alignment horizontal="right" vertical="center" wrapText="1"/>
    </xf>
    <xf numFmtId="43" fontId="35" fillId="0" borderId="0" xfId="1" applyFont="1" applyFill="1"/>
    <xf numFmtId="43" fontId="35" fillId="0" borderId="0" xfId="1" applyFont="1"/>
    <xf numFmtId="170" fontId="35" fillId="0" borderId="0" xfId="94" applyNumberFormat="1" applyFont="1" applyFill="1" applyAlignment="1">
      <alignment horizontal="right" vertical="center" wrapText="1"/>
    </xf>
    <xf numFmtId="170" fontId="35" fillId="0" borderId="0" xfId="94" applyNumberFormat="1" applyFont="1"/>
    <xf numFmtId="179" fontId="35" fillId="0" borderId="0" xfId="94" applyNumberFormat="1" applyFont="1" applyFill="1" applyAlignment="1">
      <alignment horizontal="right" vertical="center" wrapText="1"/>
    </xf>
    <xf numFmtId="166" fontId="13" fillId="0" borderId="0" xfId="1" applyNumberFormat="1" applyFont="1" applyFill="1" applyBorder="1" applyAlignment="1">
      <alignment vertical="top"/>
    </xf>
    <xf numFmtId="170" fontId="14" fillId="0" borderId="0" xfId="94" applyNumberFormat="1" applyFont="1"/>
    <xf numFmtId="43" fontId="35" fillId="0" borderId="0" xfId="94" applyNumberFormat="1" applyFont="1"/>
    <xf numFmtId="0" fontId="13" fillId="0" borderId="10" xfId="94" quotePrefix="1" applyFont="1" applyBorder="1" applyAlignment="1">
      <alignment wrapText="1"/>
    </xf>
    <xf numFmtId="0" fontId="13" fillId="0" borderId="23" xfId="94" quotePrefix="1" applyFont="1" applyBorder="1" applyAlignment="1">
      <alignment wrapText="1"/>
    </xf>
    <xf numFmtId="0" fontId="13" fillId="0" borderId="24" xfId="94" quotePrefix="1" applyFont="1" applyBorder="1" applyAlignment="1">
      <alignment wrapText="1"/>
    </xf>
    <xf numFmtId="0" fontId="13" fillId="0" borderId="0" xfId="94" quotePrefix="1" applyFont="1" applyAlignment="1">
      <alignment wrapText="1"/>
    </xf>
    <xf numFmtId="166" fontId="50" fillId="0" borderId="0" xfId="1" applyNumberFormat="1" applyFont="1"/>
    <xf numFmtId="43" fontId="50" fillId="0" borderId="0" xfId="1" applyNumberFormat="1" applyFont="1"/>
    <xf numFmtId="0" fontId="1" fillId="0" borderId="0" xfId="100"/>
    <xf numFmtId="15" fontId="1" fillId="0" borderId="0" xfId="100" applyNumberFormat="1"/>
    <xf numFmtId="179" fontId="35" fillId="0" borderId="0" xfId="1" applyNumberFormat="1" applyFont="1" applyFill="1" applyAlignment="1">
      <alignment horizontal="right" vertical="center" wrapText="1"/>
    </xf>
    <xf numFmtId="179" fontId="35" fillId="0" borderId="0" xfId="1" applyNumberFormat="1" applyFont="1" applyFill="1"/>
    <xf numFmtId="43" fontId="8" fillId="0" borderId="0" xfId="0" applyNumberFormat="1" applyFont="1" applyFill="1" applyAlignment="1">
      <alignment vertical="top"/>
    </xf>
    <xf numFmtId="166" fontId="13" fillId="0" borderId="2" xfId="99" applyNumberFormat="1" applyFont="1" applyFill="1" applyBorder="1" applyAlignment="1">
      <alignment vertical="top"/>
    </xf>
    <xf numFmtId="166" fontId="13" fillId="0" borderId="0" xfId="99" applyNumberFormat="1" applyFont="1" applyFill="1" applyBorder="1" applyAlignment="1">
      <alignment vertical="top"/>
    </xf>
    <xf numFmtId="0" fontId="13" fillId="0" borderId="0" xfId="0" applyFont="1" applyFill="1"/>
    <xf numFmtId="166" fontId="11" fillId="0" borderId="0" xfId="0" quotePrefix="1" applyNumberFormat="1" applyFont="1" applyFill="1" applyAlignment="1">
      <alignment horizontal="center"/>
    </xf>
    <xf numFmtId="0" fontId="11" fillId="0" borderId="0" xfId="0" applyFont="1" applyFill="1" applyAlignment="1"/>
    <xf numFmtId="166" fontId="11" fillId="0" borderId="0" xfId="0" applyNumberFormat="1" applyFont="1" applyFill="1" applyAlignment="1">
      <alignment horizontal="center"/>
    </xf>
    <xf numFmtId="0" fontId="13" fillId="0" borderId="0" xfId="0" applyFont="1" applyFill="1" applyBorder="1" applyAlignment="1">
      <alignment horizontal="center" vertical="top"/>
    </xf>
    <xf numFmtId="166" fontId="13" fillId="0" borderId="7" xfId="0" applyNumberFormat="1" applyFont="1" applyFill="1" applyBorder="1" applyAlignment="1" applyProtection="1">
      <alignment horizontal="center"/>
    </xf>
    <xf numFmtId="166" fontId="13" fillId="0" borderId="0" xfId="0" quotePrefix="1" applyNumberFormat="1" applyFont="1" applyFill="1" applyAlignment="1">
      <alignment horizontal="center"/>
    </xf>
    <xf numFmtId="0" fontId="11" fillId="0" borderId="0" xfId="0" quotePrefix="1" applyNumberFormat="1" applyFont="1" applyFill="1" applyBorder="1" applyAlignment="1" applyProtection="1">
      <alignment horizontal="center" vertical="top"/>
    </xf>
    <xf numFmtId="0" fontId="11" fillId="0" borderId="0" xfId="0" applyFont="1" applyBorder="1" applyAlignment="1">
      <alignment horizontal="center"/>
    </xf>
    <xf numFmtId="166" fontId="11" fillId="0" borderId="7" xfId="0" applyNumberFormat="1" applyFont="1" applyFill="1" applyBorder="1" applyAlignment="1" applyProtection="1">
      <alignment horizontal="center"/>
    </xf>
    <xf numFmtId="0" fontId="11" fillId="0" borderId="0" xfId="0" quotePrefix="1" applyNumberFormat="1" applyFont="1" applyFill="1" applyAlignment="1" applyProtection="1">
      <alignment horizontal="center" vertical="top"/>
    </xf>
    <xf numFmtId="0" fontId="26" fillId="0" borderId="6" xfId="0" applyNumberFormat="1" applyFont="1" applyFill="1" applyBorder="1" applyAlignment="1">
      <alignment horizontal="center" vertical="center" wrapText="1"/>
    </xf>
    <xf numFmtId="0" fontId="26" fillId="0" borderId="5" xfId="0" applyNumberFormat="1"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0" fontId="26" fillId="0" borderId="8" xfId="0" applyNumberFormat="1" applyFont="1" applyFill="1" applyBorder="1" applyAlignment="1">
      <alignment horizontal="center" vertical="center" wrapText="1"/>
    </xf>
    <xf numFmtId="0" fontId="26" fillId="0" borderId="3" xfId="0" applyNumberFormat="1" applyFont="1" applyFill="1" applyBorder="1" applyAlignment="1">
      <alignment horizontal="center" vertical="center" wrapText="1"/>
    </xf>
    <xf numFmtId="0" fontId="26" fillId="0" borderId="11" xfId="0" applyNumberFormat="1" applyFont="1" applyFill="1" applyBorder="1" applyAlignment="1">
      <alignment horizontal="center" vertical="center" wrapText="1"/>
    </xf>
    <xf numFmtId="0" fontId="27" fillId="0" borderId="1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3" xfId="0" applyFont="1" applyBorder="1" applyAlignment="1">
      <alignment horizontal="center" vertical="center" wrapText="1"/>
    </xf>
    <xf numFmtId="0" fontId="26" fillId="0" borderId="0" xfId="0" quotePrefix="1" applyFont="1" applyFill="1" applyBorder="1" applyAlignment="1" applyProtection="1">
      <alignment horizontal="center" vertical="top"/>
    </xf>
    <xf numFmtId="0" fontId="27" fillId="0" borderId="0" xfId="0" applyFont="1" applyAlignment="1">
      <alignment horizontal="center" vertical="top"/>
    </xf>
    <xf numFmtId="166" fontId="11" fillId="0" borderId="7" xfId="0" applyNumberFormat="1" applyFont="1" applyFill="1" applyBorder="1" applyAlignment="1">
      <alignment horizontal="center" vertical="top"/>
    </xf>
    <xf numFmtId="0" fontId="8" fillId="0" borderId="0" xfId="0" applyFont="1" applyFill="1" applyAlignment="1">
      <alignment horizontal="left" vertical="top" wrapText="1"/>
    </xf>
    <xf numFmtId="0" fontId="8" fillId="0" borderId="0" xfId="3" applyFont="1" applyFill="1" applyAlignment="1">
      <alignment horizontal="justify" vertical="top" wrapText="1"/>
    </xf>
    <xf numFmtId="0" fontId="34" fillId="0" borderId="0" xfId="0" quotePrefix="1" applyFont="1" applyAlignment="1">
      <alignment horizontal="justify" vertical="top" wrapText="1"/>
    </xf>
    <xf numFmtId="0" fontId="34" fillId="0" borderId="0" xfId="0" applyFont="1" applyAlignment="1">
      <alignment horizontal="justify" vertical="top" wrapText="1"/>
    </xf>
    <xf numFmtId="0" fontId="8" fillId="0" borderId="0" xfId="0" applyFont="1" applyFill="1" applyAlignment="1">
      <alignment horizontal="justify" vertical="top" wrapText="1"/>
    </xf>
    <xf numFmtId="0" fontId="34" fillId="0" borderId="0" xfId="0" applyFont="1" applyFill="1" applyAlignment="1">
      <alignment horizontal="justify" vertical="top" wrapText="1"/>
    </xf>
    <xf numFmtId="0" fontId="8" fillId="0" borderId="0" xfId="3" applyFont="1" applyFill="1" applyAlignment="1">
      <alignment horizontal="justify" vertical="top"/>
    </xf>
    <xf numFmtId="0" fontId="8" fillId="0" borderId="0" xfId="3" quotePrefix="1" applyFont="1" applyFill="1" applyAlignment="1">
      <alignment horizontal="justify" vertical="top"/>
    </xf>
    <xf numFmtId="0" fontId="8" fillId="0" borderId="0" xfId="0" quotePrefix="1" applyFont="1" applyFill="1" applyAlignment="1">
      <alignment horizontal="justify" vertical="top"/>
    </xf>
    <xf numFmtId="0" fontId="8" fillId="0" borderId="0" xfId="0" applyNumberFormat="1" applyFont="1" applyFill="1" applyAlignment="1">
      <alignment horizontal="justify" vertical="top" wrapText="1"/>
    </xf>
    <xf numFmtId="0" fontId="8" fillId="0" borderId="0" xfId="0" applyFont="1" applyFill="1" applyAlignment="1">
      <alignment horizontal="justify" vertical="top"/>
    </xf>
    <xf numFmtId="0" fontId="8" fillId="0" borderId="0" xfId="0" applyFont="1" applyFill="1" applyAlignment="1" applyProtection="1">
      <alignment horizontal="justify" vertical="top"/>
      <protection locked="0"/>
    </xf>
    <xf numFmtId="0" fontId="8" fillId="0" borderId="0" xfId="0" applyFont="1" applyFill="1" applyAlignment="1">
      <alignment horizontal="center" vertical="top" wrapText="1"/>
    </xf>
    <xf numFmtId="0" fontId="11" fillId="0" borderId="0" xfId="0" applyFont="1" applyFill="1" applyAlignment="1">
      <alignment horizontal="center"/>
    </xf>
    <xf numFmtId="0" fontId="8" fillId="0" borderId="0" xfId="0" quotePrefix="1" applyFont="1" applyFill="1" applyAlignment="1">
      <alignment horizontal="justify" vertical="top" wrapText="1"/>
    </xf>
    <xf numFmtId="0" fontId="8" fillId="0" borderId="0" xfId="0" quotePrefix="1" applyFont="1" applyFill="1" applyBorder="1" applyAlignment="1" applyProtection="1">
      <alignment horizontal="justify" vertical="top"/>
      <protection locked="0"/>
    </xf>
    <xf numFmtId="0" fontId="8" fillId="0" borderId="0" xfId="0" quotePrefix="1" applyFont="1" applyFill="1" applyAlignment="1">
      <alignment horizontal="justify" vertical="justify" wrapText="1"/>
    </xf>
    <xf numFmtId="0" fontId="13" fillId="0" borderId="8" xfId="94" quotePrefix="1" applyFont="1" applyBorder="1" applyAlignment="1">
      <alignment horizontal="center" wrapText="1"/>
    </xf>
    <xf numFmtId="0" fontId="13" fillId="0" borderId="3" xfId="94" quotePrefix="1" applyFont="1" applyBorder="1" applyAlignment="1">
      <alignment horizontal="center" wrapText="1"/>
    </xf>
    <xf numFmtId="0" fontId="13" fillId="0" borderId="11" xfId="94" quotePrefix="1" applyFont="1" applyBorder="1" applyAlignment="1">
      <alignment horizontal="center" wrapText="1"/>
    </xf>
    <xf numFmtId="0" fontId="13" fillId="0" borderId="10" xfId="94" quotePrefix="1" applyFont="1" applyBorder="1" applyAlignment="1">
      <alignment horizontal="center" wrapText="1"/>
    </xf>
    <xf numFmtId="0" fontId="13" fillId="0" borderId="23" xfId="94" quotePrefix="1" applyFont="1" applyBorder="1" applyAlignment="1">
      <alignment horizontal="center" wrapText="1"/>
    </xf>
    <xf numFmtId="0" fontId="13" fillId="0" borderId="24" xfId="94" quotePrefix="1" applyFont="1" applyBorder="1" applyAlignment="1">
      <alignment horizontal="center" wrapText="1"/>
    </xf>
    <xf numFmtId="0" fontId="13" fillId="0" borderId="33" xfId="94" applyFont="1" applyBorder="1" applyAlignment="1">
      <alignment horizontal="center" vertical="center" wrapText="1"/>
    </xf>
    <xf numFmtId="0" fontId="13" fillId="0" borderId="34" xfId="94" applyFont="1" applyBorder="1" applyAlignment="1">
      <alignment horizontal="center" vertical="center" wrapText="1"/>
    </xf>
    <xf numFmtId="0" fontId="13" fillId="0" borderId="12" xfId="94" applyFont="1" applyBorder="1" applyAlignment="1">
      <alignment horizontal="center" vertical="center" wrapText="1"/>
    </xf>
    <xf numFmtId="0" fontId="13" fillId="0" borderId="13" xfId="94" applyFont="1" applyBorder="1" applyAlignment="1">
      <alignment horizontal="center" vertical="center" wrapText="1"/>
    </xf>
    <xf numFmtId="0" fontId="13" fillId="0" borderId="5" xfId="94" applyFont="1" applyBorder="1" applyAlignment="1">
      <alignment horizontal="center" vertical="center" wrapText="1"/>
    </xf>
    <xf numFmtId="0" fontId="13" fillId="0" borderId="4" xfId="94" applyFont="1" applyBorder="1" applyAlignment="1">
      <alignment horizontal="center" vertical="center" wrapText="1"/>
    </xf>
    <xf numFmtId="166" fontId="21" fillId="0" borderId="0" xfId="0" quotePrefix="1" applyNumberFormat="1" applyFont="1" applyFill="1" applyAlignment="1">
      <alignment horizontal="center"/>
    </xf>
    <xf numFmtId="0" fontId="8" fillId="0" borderId="0" xfId="0" quotePrefix="1" applyFont="1" applyFill="1" applyAlignment="1" applyProtection="1">
      <alignment horizontal="justify" vertical="top"/>
      <protection locked="0"/>
    </xf>
    <xf numFmtId="0" fontId="35" fillId="0" borderId="0" xfId="0" applyFont="1" applyFill="1" applyAlignment="1">
      <alignment horizontal="justify" vertical="top"/>
    </xf>
    <xf numFmtId="0" fontId="20" fillId="0" borderId="0" xfId="0" applyFont="1" applyFill="1" applyAlignment="1">
      <alignment horizontal="justify" vertical="top"/>
    </xf>
    <xf numFmtId="0" fontId="8" fillId="0" borderId="0" xfId="88" applyFont="1" applyAlignment="1" applyProtection="1">
      <alignment horizontal="left" vertical="top" wrapText="1"/>
      <protection locked="0"/>
    </xf>
    <xf numFmtId="0" fontId="8" fillId="0" borderId="0" xfId="88" applyFont="1" applyFill="1" applyAlignment="1">
      <alignment horizontal="left" vertical="top" wrapText="1"/>
    </xf>
    <xf numFmtId="0" fontId="8" fillId="0" borderId="0" xfId="88" applyFont="1" applyFill="1" applyAlignment="1" applyProtection="1">
      <alignment horizontal="left" vertical="top" wrapText="1"/>
      <protection locked="0"/>
    </xf>
    <xf numFmtId="0" fontId="21" fillId="0" borderId="0" xfId="0" applyFont="1" applyFill="1" applyAlignment="1">
      <alignment horizontal="justify" vertical="top"/>
    </xf>
    <xf numFmtId="0" fontId="8" fillId="38" borderId="0" xfId="0" quotePrefix="1" applyFont="1" applyFill="1" applyAlignment="1">
      <alignment horizontal="justify" vertical="top"/>
    </xf>
    <xf numFmtId="0" fontId="13" fillId="0" borderId="0" xfId="94" quotePrefix="1" applyFont="1" applyAlignment="1">
      <alignment horizontal="center" vertical="top"/>
    </xf>
    <xf numFmtId="184" fontId="12" fillId="0" borderId="0" xfId="94" applyNumberFormat="1" applyFont="1" applyAlignment="1">
      <alignment horizontal="center" vertical="center"/>
    </xf>
    <xf numFmtId="0" fontId="8" fillId="0" borderId="0" xfId="0" quotePrefix="1" applyFont="1" applyFill="1" applyBorder="1" applyAlignment="1">
      <alignment vertical="top" wrapText="1"/>
    </xf>
    <xf numFmtId="0" fontId="8" fillId="0" borderId="0" xfId="0" applyNumberFormat="1" applyFont="1" applyFill="1" applyAlignment="1">
      <alignment vertical="top" wrapText="1"/>
    </xf>
    <xf numFmtId="0" fontId="26" fillId="0" borderId="9" xfId="0" quotePrefix="1" applyFont="1" applyFill="1" applyBorder="1" applyAlignment="1">
      <alignment horizontal="center"/>
    </xf>
    <xf numFmtId="0" fontId="26" fillId="0" borderId="9" xfId="0" applyFont="1" applyFill="1" applyBorder="1" applyAlignment="1">
      <alignment horizontal="center"/>
    </xf>
    <xf numFmtId="0" fontId="26" fillId="0" borderId="0" xfId="0" applyNumberFormat="1" applyFont="1" applyFill="1" applyBorder="1" applyAlignment="1">
      <alignment horizontal="center" vertical="center" wrapText="1"/>
    </xf>
    <xf numFmtId="0" fontId="26" fillId="0" borderId="0" xfId="0" quotePrefix="1" applyFont="1" applyFill="1" applyAlignment="1">
      <alignment horizontal="center"/>
    </xf>
    <xf numFmtId="0" fontId="13" fillId="0" borderId="6" xfId="94" applyFont="1" applyFill="1" applyBorder="1" applyAlignment="1">
      <alignment horizontal="center" vertical="center" wrapText="1"/>
    </xf>
    <xf numFmtId="0" fontId="13" fillId="0" borderId="4" xfId="94" applyFont="1" applyFill="1" applyBorder="1" applyAlignment="1">
      <alignment horizontal="center" vertical="center" wrapText="1"/>
    </xf>
    <xf numFmtId="0" fontId="13" fillId="0" borderId="0" xfId="94" applyFont="1" applyBorder="1" applyAlignment="1">
      <alignment horizontal="center" vertical="center" wrapText="1"/>
    </xf>
    <xf numFmtId="0" fontId="13" fillId="0" borderId="10" xfId="94" quotePrefix="1" applyFont="1" applyFill="1" applyBorder="1" applyAlignment="1">
      <alignment horizontal="center" wrapText="1"/>
    </xf>
    <xf numFmtId="0" fontId="13" fillId="0" borderId="23" xfId="94" quotePrefix="1" applyFont="1" applyFill="1" applyBorder="1" applyAlignment="1">
      <alignment horizontal="center" wrapText="1"/>
    </xf>
    <xf numFmtId="0" fontId="13" fillId="0" borderId="24" xfId="94" quotePrefix="1" applyFont="1" applyFill="1" applyBorder="1" applyAlignment="1">
      <alignment horizontal="center" wrapText="1"/>
    </xf>
    <xf numFmtId="0" fontId="26" fillId="0" borderId="8" xfId="0" applyNumberFormat="1" applyFont="1" applyFill="1" applyBorder="1" applyAlignment="1">
      <alignment horizontal="center" vertical="center"/>
    </xf>
    <xf numFmtId="0" fontId="26" fillId="0" borderId="3" xfId="0" applyNumberFormat="1" applyFont="1" applyFill="1" applyBorder="1" applyAlignment="1">
      <alignment horizontal="center" vertical="center"/>
    </xf>
    <xf numFmtId="0" fontId="26" fillId="0" borderId="11" xfId="0" applyNumberFormat="1" applyFont="1" applyFill="1" applyBorder="1" applyAlignment="1">
      <alignment horizontal="center" vertical="center"/>
    </xf>
    <xf numFmtId="0" fontId="27" fillId="0" borderId="12" xfId="0" applyNumberFormat="1" applyFont="1" applyFill="1" applyBorder="1" applyAlignment="1">
      <alignment horizontal="center" vertical="center"/>
    </xf>
    <xf numFmtId="0" fontId="27" fillId="0" borderId="7" xfId="0" applyNumberFormat="1" applyFont="1" applyFill="1" applyBorder="1" applyAlignment="1">
      <alignment horizontal="center" vertical="center"/>
    </xf>
    <xf numFmtId="0" fontId="27" fillId="0" borderId="13" xfId="0" applyNumberFormat="1" applyFont="1" applyFill="1" applyBorder="1" applyAlignment="1">
      <alignment horizontal="center" vertical="center"/>
    </xf>
    <xf numFmtId="0" fontId="27" fillId="0" borderId="12" xfId="0" applyNumberFormat="1" applyFont="1" applyFill="1" applyBorder="1" applyAlignment="1">
      <alignment horizontal="center" vertical="center" wrapText="1"/>
    </xf>
    <xf numFmtId="0" fontId="27" fillId="0" borderId="13" xfId="0" applyNumberFormat="1" applyFont="1" applyFill="1" applyBorder="1" applyAlignment="1">
      <alignment horizontal="center" vertical="center" wrapText="1"/>
    </xf>
    <xf numFmtId="0" fontId="26" fillId="0" borderId="3" xfId="0" quotePrefix="1" applyFont="1" applyFill="1" applyBorder="1" applyAlignment="1">
      <alignment horizontal="center" vertical="top" wrapText="1"/>
    </xf>
    <xf numFmtId="166" fontId="26" fillId="0" borderId="0" xfId="0" quotePrefix="1" applyNumberFormat="1" applyFont="1" applyFill="1" applyBorder="1" applyAlignment="1">
      <alignment horizontal="center"/>
    </xf>
    <xf numFmtId="0" fontId="11" fillId="0" borderId="9" xfId="0" applyFont="1" applyBorder="1" applyAlignment="1">
      <alignment horizontal="center"/>
    </xf>
    <xf numFmtId="0" fontId="11" fillId="0" borderId="6" xfId="0" applyFont="1" applyBorder="1" applyAlignment="1">
      <alignment horizontal="center" wrapText="1"/>
    </xf>
    <xf numFmtId="0" fontId="11" fillId="0" borderId="4" xfId="0" applyFont="1" applyBorder="1" applyAlignment="1">
      <alignment horizont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0" fillId="0" borderId="0" xfId="0" applyAlignment="1">
      <alignment vertical="center"/>
    </xf>
    <xf numFmtId="0" fontId="50" fillId="0" borderId="7" xfId="0" applyFont="1" applyBorder="1" applyAlignment="1">
      <alignment horizontal="center"/>
    </xf>
    <xf numFmtId="0" fontId="50" fillId="0" borderId="9" xfId="0" applyFont="1" applyBorder="1" applyAlignment="1">
      <alignment horizontal="center" vertical="center"/>
    </xf>
    <xf numFmtId="0" fontId="21" fillId="0" borderId="6" xfId="0" applyFont="1" applyBorder="1" applyAlignment="1">
      <alignment horizontal="center" vertical="center"/>
    </xf>
    <xf numFmtId="0" fontId="21" fillId="0" borderId="4" xfId="0" applyFont="1" applyBorder="1" applyAlignment="1">
      <alignment horizontal="center" vertical="center"/>
    </xf>
    <xf numFmtId="0" fontId="21" fillId="0" borderId="9" xfId="0" quotePrefix="1" applyFont="1" applyBorder="1" applyAlignment="1">
      <alignment horizontal="center"/>
    </xf>
    <xf numFmtId="0" fontId="21" fillId="0" borderId="9" xfId="0" applyFont="1" applyBorder="1" applyAlignment="1">
      <alignment horizontal="center"/>
    </xf>
    <xf numFmtId="0" fontId="21" fillId="0" borderId="10"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8" fillId="0" borderId="12" xfId="0" applyNumberFormat="1" applyFont="1" applyBorder="1" applyAlignment="1">
      <alignment horizontal="center" vertical="center" wrapText="1"/>
    </xf>
    <xf numFmtId="0" fontId="28" fillId="0" borderId="13" xfId="0" applyNumberFormat="1" applyFont="1" applyBorder="1" applyAlignment="1">
      <alignment horizontal="center" vertical="center" wrapText="1"/>
    </xf>
    <xf numFmtId="0" fontId="28" fillId="0" borderId="12" xfId="0" applyNumberFormat="1" applyFont="1" applyBorder="1" applyAlignment="1">
      <alignment horizontal="center" vertical="center"/>
    </xf>
    <xf numFmtId="0" fontId="28" fillId="0" borderId="7" xfId="0" applyNumberFormat="1" applyFont="1" applyBorder="1" applyAlignment="1">
      <alignment horizontal="center" vertical="center"/>
    </xf>
    <xf numFmtId="0" fontId="28" fillId="0" borderId="13" xfId="0" applyNumberFormat="1" applyFont="1" applyBorder="1" applyAlignment="1">
      <alignment horizontal="center" vertical="center"/>
    </xf>
  </cellXfs>
  <cellStyles count="101">
    <cellStyle name=" 1" xfId="3"/>
    <cellStyle name=" 1 2" xfId="44"/>
    <cellStyle name=" 1_Notes for June-2011" xfId="45"/>
    <cellStyle name="=C:\WINNT\SYSTEM32\COMMAND.COM 2 2" xfId="96"/>
    <cellStyle name="=C:\WINNT\SYSTEM32\COMMAND.COM 2 2 2" xfId="7"/>
    <cellStyle name="20% - Accent1" xfId="27" builtinId="30" customBuiltin="1"/>
    <cellStyle name="20% - Accent1 2" xfId="56"/>
    <cellStyle name="20% - Accent1 3" xfId="72"/>
    <cellStyle name="20% - Accent2" xfId="30" builtinId="34" customBuiltin="1"/>
    <cellStyle name="20% - Accent2 2" xfId="58"/>
    <cellStyle name="20% - Accent2 3" xfId="74"/>
    <cellStyle name="20% - Accent3" xfId="33" builtinId="38" customBuiltin="1"/>
    <cellStyle name="20% - Accent3 2" xfId="60"/>
    <cellStyle name="20% - Accent3 3" xfId="76"/>
    <cellStyle name="20% - Accent4" xfId="36" builtinId="42" customBuiltin="1"/>
    <cellStyle name="20% - Accent4 2" xfId="62"/>
    <cellStyle name="20% - Accent4 3" xfId="78"/>
    <cellStyle name="20% - Accent5" xfId="39" builtinId="46" customBuiltin="1"/>
    <cellStyle name="20% - Accent5 2" xfId="64"/>
    <cellStyle name="20% - Accent5 3" xfId="80"/>
    <cellStyle name="20% - Accent6" xfId="42" builtinId="50" customBuiltin="1"/>
    <cellStyle name="20% - Accent6 2" xfId="66"/>
    <cellStyle name="20% - Accent6 3" xfId="82"/>
    <cellStyle name="40% - Accent1" xfId="28" builtinId="31" customBuiltin="1"/>
    <cellStyle name="40% - Accent1 2" xfId="57"/>
    <cellStyle name="40% - Accent1 3" xfId="73"/>
    <cellStyle name="40% - Accent2" xfId="31" builtinId="35" customBuiltin="1"/>
    <cellStyle name="40% - Accent2 2" xfId="59"/>
    <cellStyle name="40% - Accent2 3" xfId="75"/>
    <cellStyle name="40% - Accent3" xfId="34" builtinId="39" customBuiltin="1"/>
    <cellStyle name="40% - Accent3 2" xfId="61"/>
    <cellStyle name="40% - Accent3 3" xfId="77"/>
    <cellStyle name="40% - Accent4" xfId="37" builtinId="43" customBuiltin="1"/>
    <cellStyle name="40% - Accent4 2" xfId="63"/>
    <cellStyle name="40% - Accent4 3" xfId="79"/>
    <cellStyle name="40% - Accent5" xfId="40" builtinId="47" customBuiltin="1"/>
    <cellStyle name="40% - Accent5 2" xfId="65"/>
    <cellStyle name="40% - Accent5 3" xfId="81"/>
    <cellStyle name="40% - Accent6" xfId="43" builtinId="51" customBuiltin="1"/>
    <cellStyle name="40% - Accent6 2" xfId="67"/>
    <cellStyle name="40% - Accent6 3" xfId="83"/>
    <cellStyle name="60% - Accent1 2" xfId="47"/>
    <cellStyle name="60% - Accent2 2" xfId="48"/>
    <cellStyle name="60% - Accent3 2" xfId="49"/>
    <cellStyle name="60% - Accent4 2" xfId="50"/>
    <cellStyle name="60% - Accent5 2" xfId="51"/>
    <cellStyle name="60% - Accent6 2" xfId="52"/>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7" builtinId="27" customBuiltin="1"/>
    <cellStyle name="Calculation" xfId="20" builtinId="22" customBuiltin="1"/>
    <cellStyle name="Check Cell" xfId="22" builtinId="23" customBuiltin="1"/>
    <cellStyle name="Comma" xfId="1" builtinId="3"/>
    <cellStyle name="Comma 10 2" xfId="90"/>
    <cellStyle name="Comma 11" xfId="95"/>
    <cellStyle name="Comma 111 2" xfId="87"/>
    <cellStyle name="Comma 14" xfId="10"/>
    <cellStyle name="Comma 2" xfId="53"/>
    <cellStyle name="Comma 21 4 2 4 2 2" xfId="86"/>
    <cellStyle name="Comma 3" xfId="99"/>
    <cellStyle name="Comma 4 3" xfId="85"/>
    <cellStyle name="Explanatory Text" xfId="24"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8" builtinId="20" customBuiltin="1"/>
    <cellStyle name="Linked Cell" xfId="21" builtinId="24" customBuiltin="1"/>
    <cellStyle name="Neutral 2" xfId="46"/>
    <cellStyle name="Normal" xfId="0" builtinId="0" customBuiltin="1"/>
    <cellStyle name="Normal - Style1" xfId="4"/>
    <cellStyle name="Normal 11" xfId="88"/>
    <cellStyle name="Normal 111" xfId="97"/>
    <cellStyle name="Normal 12" xfId="92"/>
    <cellStyle name="Normal 12 2 2" xfId="69"/>
    <cellStyle name="Normal 13" xfId="93"/>
    <cellStyle name="Normal 145 2" xfId="5"/>
    <cellStyle name="Normal 2" xfId="100"/>
    <cellStyle name="Normal 2 10 2" xfId="98"/>
    <cellStyle name="Normal 2 2 2 2" xfId="9"/>
    <cellStyle name="Normal 2 3" xfId="84"/>
    <cellStyle name="Normal 3" xfId="11"/>
    <cellStyle name="Normal 3 2" xfId="94"/>
    <cellStyle name="Normal 3 3" xfId="71"/>
    <cellStyle name="Normal 3 4 6" xfId="68"/>
    <cellStyle name="Normal 545" xfId="8"/>
    <cellStyle name="Normal 6 7 2 5 3 2 2" xfId="89"/>
    <cellStyle name="Normal 9" xfId="91"/>
    <cellStyle name="Output" xfId="19" builtinId="21" customBuiltin="1"/>
    <cellStyle name="Percent" xfId="2" builtinId="5"/>
    <cellStyle name="Percent 2" xfId="54"/>
    <cellStyle name="Style 1 2 10" xfId="70"/>
    <cellStyle name="Style 2" xfId="6"/>
    <cellStyle name="Title 2" xfId="55"/>
    <cellStyle name="Total" xfId="25" builtinId="25" customBuiltin="1"/>
    <cellStyle name="Warning Text" xfId="23" builtinId="11" customBuiltin="1"/>
  </cellStyles>
  <dxfs count="0"/>
  <tableStyles count="0" defaultTableStyle="TableStyleMedium2" defaultPivotStyle="PivotStyleLight16"/>
  <colors>
    <mruColors>
      <color rgb="FFCC66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drawing3.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oneCellAnchor>
    <xdr:from>
      <xdr:col>11</xdr:col>
      <xdr:colOff>0</xdr:colOff>
      <xdr:row>452</xdr:row>
      <xdr:rowOff>0</xdr:rowOff>
    </xdr:from>
    <xdr:ext cx="612519" cy="2667"/>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6391275" y="87020400"/>
          <a:ext cx="612519" cy="2667"/>
        </a:xfrm>
        <a:prstGeom prst="rect">
          <a:avLst/>
        </a:prstGeom>
        <a:noFill/>
        <a:ln w="9525">
          <a:noFill/>
          <a:miter lim="800000"/>
          <a:headEnd/>
          <a:tailEnd/>
        </a:ln>
      </xdr:spPr>
      <xdr:txBody>
        <a:bodyPr vertOverflow="clip" wrap="square" lIns="27432" tIns="22860" rIns="27432" bIns="0" anchor="t" upright="1"/>
        <a:lstStyle/>
        <a:p>
          <a:pPr algn="just" rtl="0">
            <a:defRPr sz="1000"/>
          </a:pPr>
          <a:r>
            <a:rPr lang="en-US" sz="900" b="0" i="0" u="none" strike="noStrike" baseline="0">
              <a:solidFill>
                <a:srgbClr val="000000"/>
              </a:solidFill>
              <a:latin typeface="Arial"/>
              <a:cs typeface="Arial"/>
            </a:rPr>
            <a:t>The Finance Act, 2008 introduced an amendment to the Workers’ Welfare Fund (WWF) Ordinance, 1971, whereby the definition of “industrial establishment” was amended to include therein, any establishment to which the West Pakistan Shops and Establishment Ordinance, 1969 (Ordinance of 1969) applies. Management Company of the Fund, based on a legal advice obtained through Mutual Funds Association of Pakistan (MUFAP) was of a firm view that Collective Investment Scheme (CIS) were not establishments and therefore, the WWF Ordinance should not be applicable to such schemes. The MUFAP had also filed a constitutional petition in the High Court of Sindh (the Court) on behalf of the members, challenging the applicability of WWF to the CIS. The said petition was dismissed by the Court vide its order dated May 25, 2010 on the main ground that the MUFAP (Petitioner) could not be held entitled to maintain a petition in respect of its members as it was not the aggrieved party.  The Judgment  recognises that the Trusts are covered by the scope of the definition of commercial establishment as contained in Ordinance of 1969 and, therefore, mutual funds and other funds appear to be covered unless it can be established that they fall with in the scope of exemption set out in Section 5 (1)(iii) of the Ordinance of 1969 i.e. the Trusts not run for profit or in the course of business does not make any profit. This could be examined when the aggrieved parties directly approached the Court for redressal.</a:t>
          </a:r>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218</xdr:row>
          <xdr:rowOff>16044</xdr:rowOff>
        </xdr:from>
        <xdr:to>
          <xdr:col>10</xdr:col>
          <xdr:colOff>681789</xdr:colOff>
          <xdr:row>260</xdr:row>
          <xdr:rowOff>48126</xdr:rowOff>
        </xdr:to>
        <xdr:pic>
          <xdr:nvPicPr>
            <xdr:cNvPr id="10" name="Picture 9"/>
            <xdr:cNvPicPr>
              <a:picLocks noChangeAspect="1" noChangeArrowheads="1"/>
              <a:extLst>
                <a:ext uri="{84589F7E-364E-4C9E-8A38-B11213B215E9}">
                  <a14:cameraTool cellRange="'5.1 (2)'!$B$4:$L$45" spid="_x0000_s1136"/>
                </a:ext>
              </a:extLst>
            </xdr:cNvPicPr>
          </xdr:nvPicPr>
          <xdr:blipFill>
            <a:blip xmlns:r="http://schemas.openxmlformats.org/officeDocument/2006/relationships" r:embed="rId1"/>
            <a:srcRect/>
            <a:stretch>
              <a:fillRect/>
            </a:stretch>
          </xdr:blipFill>
          <xdr:spPr bwMode="auto">
            <a:xfrm>
              <a:off x="417095" y="6593307"/>
              <a:ext cx="5863389" cy="60639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350922</xdr:colOff>
          <xdr:row>450</xdr:row>
          <xdr:rowOff>140368</xdr:rowOff>
        </xdr:from>
        <xdr:to>
          <xdr:col>10</xdr:col>
          <xdr:colOff>523375</xdr:colOff>
          <xdr:row>492</xdr:row>
          <xdr:rowOff>115236</xdr:rowOff>
        </xdr:to>
        <xdr:pic>
          <xdr:nvPicPr>
            <xdr:cNvPr id="12" name="Picture 11"/>
            <xdr:cNvPicPr>
              <a:picLocks noChangeAspect="1" noChangeArrowheads="1"/>
              <a:extLst>
                <a:ext uri="{84589F7E-364E-4C9E-8A38-B11213B215E9}">
                  <a14:cameraTool cellRange="'RP (2)'!$B$12:$M$55" spid="_x0000_s1137"/>
                </a:ext>
              </a:extLst>
            </xdr:cNvPicPr>
          </xdr:nvPicPr>
          <xdr:blipFill>
            <a:blip xmlns:r="http://schemas.openxmlformats.org/officeDocument/2006/relationships" r:embed="rId2"/>
            <a:srcRect/>
            <a:stretch>
              <a:fillRect/>
            </a:stretch>
          </xdr:blipFill>
          <xdr:spPr bwMode="auto">
            <a:xfrm>
              <a:off x="350922" y="37789184"/>
              <a:ext cx="5807242" cy="629144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531</xdr:row>
          <xdr:rowOff>0</xdr:rowOff>
        </xdr:from>
        <xdr:to>
          <xdr:col>10</xdr:col>
          <xdr:colOff>721894</xdr:colOff>
          <xdr:row>583</xdr:row>
          <xdr:rowOff>96253</xdr:rowOff>
        </xdr:to>
        <xdr:pic>
          <xdr:nvPicPr>
            <xdr:cNvPr id="6" name="Picture 5"/>
            <xdr:cNvPicPr>
              <a:picLocks noChangeAspect="1" noChangeArrowheads="1"/>
              <a:extLst>
                <a:ext uri="{84589F7E-364E-4C9E-8A38-B11213B215E9}">
                  <a14:cameraTool cellRange="PAYOUT!$N$15:$X$69" spid="_x0000_s1138"/>
                </a:ext>
              </a:extLst>
            </xdr:cNvPicPr>
          </xdr:nvPicPr>
          <xdr:blipFill>
            <a:blip xmlns:r="http://schemas.openxmlformats.org/officeDocument/2006/relationships" r:embed="rId3"/>
            <a:srcRect/>
            <a:stretch>
              <a:fillRect/>
            </a:stretch>
          </xdr:blipFill>
          <xdr:spPr bwMode="auto">
            <a:xfrm>
              <a:off x="417095" y="49249263"/>
              <a:ext cx="5903494" cy="802105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0</xdr:colOff>
      <xdr:row>111</xdr:row>
      <xdr:rowOff>0</xdr:rowOff>
    </xdr:from>
    <xdr:to>
      <xdr:col>27</xdr:col>
      <xdr:colOff>681789</xdr:colOff>
      <xdr:row>153</xdr:row>
      <xdr:rowOff>15538</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10950" y="22393275"/>
          <a:ext cx="6320589" cy="8226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16</xdr:col>
          <xdr:colOff>529291</xdr:colOff>
          <xdr:row>7</xdr:row>
          <xdr:rowOff>166034</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a:extLst>
                <a:ext uri="{84589F7E-364E-4C9E-8A38-B11213B215E9}">
                  <a14:cameraTool cellRange="'[4]7'!$B$4:$D$8" spid="_x0000_s16689"/>
                </a:ext>
              </a:extLst>
            </xdr:cNvPicPr>
          </xdr:nvPicPr>
          <xdr:blipFill>
            <a:blip xmlns:r="http://schemas.openxmlformats.org/officeDocument/2006/relationships" r:embed="rId1"/>
            <a:srcRect/>
            <a:stretch>
              <a:fillRect/>
            </a:stretch>
          </xdr:blipFill>
          <xdr:spPr bwMode="auto">
            <a:xfrm>
              <a:off x="5003800" y="787400"/>
              <a:ext cx="5983941" cy="75658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OVS-2001\My%20Documents\XeeShan\temp\OVERSEAS%20AL%20BKU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84.8.137\Audit%20C\Users\rehman.ghauri\Downloads\Compressed\New%20folder\MCB-AH\PCF%20v10%20after%20formatting%20&amp;%20JM%20review%20&amp;%20Noman%20Revi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hmed.hamid/Desktop/March%2022/Account/PCF/PCF%20Dec%202021%20V10%20NAS%20review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84.8.137\Audit%20C\Users\rkumar221\Desktop\MCB%20Arif%20Habib\Deliverable%20HY%202019\DCF%20Formatted%20vF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84.8.137\Audit%20C\Users\asamad017\Desktop\Funds\Dec15\PCF\PCF\PCF%20TRAN.%20REPORT%20M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BSDOMOVS"/>
      <sheetName val="LS-UAE"/>
      <sheetName val="ASSETS"/>
      <sheetName val="OUTSTANDING FX-SWAP"/>
      <sheetName val="Code"/>
      <sheetName val="Lookups"/>
      <sheetName val="Pool"/>
      <sheetName val="RC-0997"/>
      <sheetName val="Macro1"/>
      <sheetName val="A-C CODE &amp; NAME"/>
      <sheetName val="TABLES"/>
      <sheetName val="actual (2)"/>
      <sheetName val="B2 STMT"/>
      <sheetName val="List"/>
      <sheetName val="T-BILL"/>
      <sheetName val="Abu Dhabi"/>
      <sheetName val="1-bwb(cb)"/>
      <sheetName val="Implied Rate"/>
      <sheetName val="Rating"/>
      <sheetName val="INPUT"/>
      <sheetName val="RATE"/>
      <sheetName val="BS-OVS"/>
      <sheetName val="PKRV"/>
      <sheetName val="B2 STMT - F"/>
      <sheetName val="ADI"/>
      <sheetName val="II- INV CO"/>
      <sheetName val="OUTSTANDING_FX-SWAP"/>
      <sheetName val="A-C_CODE_&amp;_NAME"/>
      <sheetName val="actual_(2)"/>
      <sheetName val="B2_STMT"/>
      <sheetName val="Abu_Dhabi"/>
      <sheetName val="Implied_Rate"/>
      <sheetName val="B2_STMT_-_F"/>
      <sheetName val="Product &amp; TL list"/>
      <sheetName val="TL List"/>
      <sheetName val="WEEKLY 1"/>
      <sheetName val="RATES"/>
      <sheetName val="B-SHEET"/>
      <sheetName val="AVERAGES"/>
      <sheetName val="OUTSTANDING_FX-SWAP1"/>
      <sheetName val="A-C_CODE_&amp;_NAME1"/>
      <sheetName val="actual_(2)1"/>
      <sheetName val="B2_STMT1"/>
      <sheetName val="Abu_Dhabi1"/>
      <sheetName val="Implied_Rate1"/>
      <sheetName val="B2_STMT_-_F1"/>
      <sheetName val="Product_&amp;_TL_list"/>
      <sheetName val="TL_List"/>
      <sheetName val="II-_INV_CO"/>
      <sheetName val="tran"/>
      <sheetName val="tb"/>
      <sheetName val="Segment"/>
      <sheetName val="last qrt2001"/>
      <sheetName val="last_qrt2001"/>
      <sheetName val="Final"/>
      <sheetName val="MODEL"/>
      <sheetName val="handout_data"/>
      <sheetName val="Data"/>
      <sheetName val="Control"/>
      <sheetName val="Frontpage"/>
      <sheetName val="Stock"/>
      <sheetName val="Revenue-Fire-Marine-Motor"/>
      <sheetName val="Sheet3"/>
      <sheetName val="Variables"/>
      <sheetName val="Sheet Tally! PNL PRODUCT"/>
      <sheetName val="PNL Assorted"/>
      <sheetName val="Switch &amp; IBFT"/>
      <sheetName val="Sheet Tally! PNL PRODUCT in Mn."/>
      <sheetName val="Switch"/>
      <sheetName val="IBFT"/>
      <sheetName val="BPS PNL"/>
      <sheetName val="SDRS"/>
      <sheetName val="Recertification &amp; Others"/>
      <sheetName val="PayPak"/>
      <sheetName val="VISA PNL"/>
      <sheetName val="Loyalty"/>
      <sheetName val="OTC PNL"/>
      <sheetName val="POS"/>
      <sheetName val="CUP PNL"/>
      <sheetName val="JCB"/>
      <sheetName val="MasterCard PNL"/>
      <sheetName val="FRMS PNL"/>
      <sheetName val="PERSO"/>
      <sheetName val="BR"/>
      <sheetName val="FS"/>
      <sheetName val="Software sum (Main Cal Hidden)"/>
      <sheetName val="Sheet tally"/>
      <sheetName val="Software Bifurcation June 2019"/>
      <sheetName val="Hardware Calcu Sum"/>
      <sheetName val="Main Calcus"/>
      <sheetName val="GPS Settlement"/>
      <sheetName val="Total TPS Tally"/>
      <sheetName val="OUTSTANDING_FX-SWAP2"/>
      <sheetName val="A-C_CODE_&amp;_NAME2"/>
      <sheetName val="actual_(2)2"/>
      <sheetName val="B2_STMT2"/>
      <sheetName val="Abu_Dhabi2"/>
      <sheetName val="Implied_Rate2"/>
      <sheetName val="B2_STMT_-_F2"/>
      <sheetName val="Product_&amp;_TL_list1"/>
      <sheetName val="TL_List1"/>
      <sheetName val="II-_INV_CO1"/>
      <sheetName val="Sheet2"/>
      <sheetName val="Sheet1"/>
      <sheetName val="OUTSTANDING_FX-SWAP3"/>
      <sheetName val="A-C_CODE_&amp;_NAME3"/>
      <sheetName val="actual_(2)3"/>
      <sheetName val="B2_STMT3"/>
      <sheetName val="Abu_Dhabi3"/>
      <sheetName val="Implied_Rate3"/>
      <sheetName val="B2_STMT_-_F3"/>
      <sheetName val="Product_&amp;_TL_list2"/>
      <sheetName val="TL_List2"/>
      <sheetName val="II-_INV_CO2"/>
      <sheetName val="last_qrt20012"/>
      <sheetName val="last_qrt20011"/>
      <sheetName val="Adjustments"/>
      <sheetName val="Workdone"/>
      <sheetName val="Disclosure"/>
      <sheetName val="FS Note"/>
      <sheetName val="Summary"/>
      <sheetName val="SAIL Loan-2"/>
      <sheetName val="SAIL Inte Rec-2.1"/>
      <sheetName val="Loan to SMPL"/>
      <sheetName val="Hi-tech"/>
      <sheetName val="HAWL"/>
      <sheetName val="SAIL Loan"/>
      <sheetName val="MAIL Loan -3"/>
      <sheetName val="MAIL Int Rec-3.1"/>
      <sheetName val="SAIL"/>
      <sheetName val="MAIL Loan "/>
      <sheetName val="Sail loan Vouching"/>
      <sheetName val="Mail"/>
      <sheetName val="Mail loan vouching"/>
      <sheetName val="SMPL"/>
      <sheetName val="SMPL Loan"/>
      <sheetName val="SMPL Int Rec-4.1"/>
      <sheetName val="SMPL Loan-4"/>
      <sheetName val="Loan from Director"/>
      <sheetName val="Due from"/>
      <sheetName val="Sail vouching"/>
      <sheetName val="Mail vouching"/>
      <sheetName val="RP transactions procedures"/>
    </sheetNames>
    <sheetDataSet>
      <sheetData sheetId="0" refreshError="1">
        <row r="8">
          <cell r="O8" t="str">
            <v>||\027\033\068</v>
          </cell>
        </row>
        <row r="421">
          <cell r="B421" t="str">
            <v xml:space="preserve">STATEMENT OF AFFAIRS  AS ON 31ST DECEMBER, 1998 </v>
          </cell>
        </row>
        <row r="422">
          <cell r="A422" t="str">
            <v>||\027\033\068</v>
          </cell>
          <cell r="P422" t="e">
            <v>#REF!</v>
          </cell>
        </row>
        <row r="423">
          <cell r="B423" t="str">
            <v>-</v>
          </cell>
          <cell r="D423" t="str">
            <v>-</v>
          </cell>
          <cell r="E423" t="str">
            <v>-</v>
          </cell>
          <cell r="F423" t="str">
            <v>-</v>
          </cell>
          <cell r="G423" t="str">
            <v>-</v>
          </cell>
          <cell r="H423" t="str">
            <v>-</v>
          </cell>
          <cell r="I423" t="str">
            <v>-</v>
          </cell>
          <cell r="P423" t="str">
            <v xml:space="preserve">STATEMENT OF AFFAIRS  AS ON 31ST DECEMBER, 1998 </v>
          </cell>
        </row>
        <row r="424">
          <cell r="D424" t="str">
            <v>MAIN BR NYK</v>
          </cell>
          <cell r="E424" t="str">
            <v>MAIN BR NYK</v>
          </cell>
          <cell r="F424" t="str">
            <v>E.P.Z.KARACHI</v>
          </cell>
          <cell r="G424" t="str">
            <v>E.P.Z.KARACHI</v>
          </cell>
          <cell r="H424" t="str">
            <v>DOHA</v>
          </cell>
          <cell r="I424" t="str">
            <v>DOHA</v>
          </cell>
        </row>
        <row r="425">
          <cell r="D425" t="str">
            <v>US DLRS</v>
          </cell>
          <cell r="E425" t="str">
            <v>PAK.RS.</v>
          </cell>
          <cell r="F425" t="str">
            <v>US DLRS</v>
          </cell>
          <cell r="G425" t="str">
            <v>PAK.RS.</v>
          </cell>
          <cell r="H425" t="str">
            <v>Q.RLYS</v>
          </cell>
          <cell r="I425" t="str">
            <v>PAK.RS.</v>
          </cell>
          <cell r="P425" t="str">
            <v>-</v>
          </cell>
          <cell r="Q425" t="str">
            <v>-</v>
          </cell>
        </row>
        <row r="426">
          <cell r="B426" t="str">
            <v>HEAD OF ACCOUNTS</v>
          </cell>
          <cell r="E426">
            <v>50.54</v>
          </cell>
          <cell r="G426">
            <v>50.54</v>
          </cell>
          <cell r="I426">
            <v>13.89</v>
          </cell>
          <cell r="Q426" t="str">
            <v>TOTAL ALL OVERSEAS</v>
          </cell>
        </row>
        <row r="427">
          <cell r="B427" t="str">
            <v>-</v>
          </cell>
          <cell r="D427" t="str">
            <v>-</v>
          </cell>
          <cell r="E427" t="str">
            <v>-</v>
          </cell>
          <cell r="F427" t="str">
            <v>-</v>
          </cell>
          <cell r="G427" t="str">
            <v>-</v>
          </cell>
          <cell r="H427" t="str">
            <v>-</v>
          </cell>
          <cell r="I427" t="str">
            <v>-</v>
          </cell>
          <cell r="Q427" t="str">
            <v>PAK.RS.</v>
          </cell>
        </row>
        <row r="428">
          <cell r="B428" t="str">
            <v>LIABILITIES</v>
          </cell>
          <cell r="P428" t="str">
            <v>HEAD OF ACCOUNTS</v>
          </cell>
          <cell r="Q428" t="str">
            <v>DECEMBER,1998</v>
          </cell>
        </row>
        <row r="429">
          <cell r="B429" t="str">
            <v>-----------</v>
          </cell>
          <cell r="P429" t="str">
            <v>-</v>
          </cell>
          <cell r="Q429" t="str">
            <v>-</v>
          </cell>
        </row>
        <row r="430">
          <cell r="B430" t="str">
            <v>CAPITAL</v>
          </cell>
          <cell r="E430">
            <v>0</v>
          </cell>
          <cell r="G430">
            <v>0</v>
          </cell>
          <cell r="H430">
            <v>10000000</v>
          </cell>
          <cell r="I430">
            <v>138900000</v>
          </cell>
          <cell r="P430" t="str">
            <v>A S S E T S</v>
          </cell>
        </row>
        <row r="431">
          <cell r="B431" t="str">
            <v>PROFIT (UNREMITTED)</v>
          </cell>
          <cell r="E431">
            <v>0</v>
          </cell>
          <cell r="G431">
            <v>0</v>
          </cell>
          <cell r="I431">
            <v>0</v>
          </cell>
          <cell r="P431" t="str">
            <v>-----------</v>
          </cell>
        </row>
        <row r="432">
          <cell r="B432" t="str">
            <v>RESERVE FOR CAPITAL REQUIREMENT</v>
          </cell>
          <cell r="E432">
            <v>0</v>
          </cell>
          <cell r="G432">
            <v>0</v>
          </cell>
          <cell r="H432">
            <v>8000000</v>
          </cell>
          <cell r="I432">
            <v>111120000</v>
          </cell>
          <cell r="P432" t="str">
            <v>FOREIGN CURRENCY ON HAND</v>
          </cell>
          <cell r="Q432" t="e">
            <v>#REF!</v>
          </cell>
        </row>
        <row r="433">
          <cell r="B433" t="str">
            <v>LEGAL RESERVE</v>
          </cell>
          <cell r="E433">
            <v>0</v>
          </cell>
          <cell r="G433">
            <v>0</v>
          </cell>
          <cell r="H433">
            <v>6196500</v>
          </cell>
          <cell r="I433">
            <v>86069385</v>
          </cell>
          <cell r="P433" t="str">
            <v>CASH ON HAND</v>
          </cell>
          <cell r="Q433" t="e">
            <v>#REF!</v>
          </cell>
        </row>
        <row r="434">
          <cell r="B434" t="str">
            <v>EXCHANGE FLUCTUATION RESERVE</v>
          </cell>
          <cell r="E434">
            <v>0</v>
          </cell>
          <cell r="F434">
            <v>-150056</v>
          </cell>
          <cell r="G434">
            <v>-7583830.2400000002</v>
          </cell>
          <cell r="I434">
            <v>0</v>
          </cell>
          <cell r="P434" t="e">
            <v>#REF!</v>
          </cell>
          <cell r="Q434" t="e">
            <v>#REF!</v>
          </cell>
        </row>
        <row r="435">
          <cell r="B435" t="str">
            <v>PROVISION FOR BAD DEBTS</v>
          </cell>
          <cell r="D435">
            <v>6095584.0599999996</v>
          </cell>
          <cell r="E435">
            <v>308070818.39239997</v>
          </cell>
          <cell r="F435">
            <v>6786000</v>
          </cell>
          <cell r="G435">
            <v>342964440</v>
          </cell>
          <cell r="H435">
            <v>14989292.26</v>
          </cell>
          <cell r="I435">
            <v>208201269.4914</v>
          </cell>
          <cell r="P435" t="e">
            <v>#REF!</v>
          </cell>
          <cell r="Q435" t="e">
            <v>#REF!</v>
          </cell>
        </row>
        <row r="436">
          <cell r="B436" t="str">
            <v>PROVISION L.G. CLAIM LOSSES</v>
          </cell>
          <cell r="E436">
            <v>0</v>
          </cell>
          <cell r="G436">
            <v>0</v>
          </cell>
          <cell r="I436">
            <v>0</v>
          </cell>
          <cell r="Q436" t="e">
            <v>#REF!</v>
          </cell>
        </row>
        <row r="437">
          <cell r="B437" t="str">
            <v>CAPITAL AND OTHER FUNDS - UK</v>
          </cell>
          <cell r="E437">
            <v>0</v>
          </cell>
          <cell r="G437">
            <v>0</v>
          </cell>
          <cell r="I437">
            <v>0</v>
          </cell>
          <cell r="P437" t="str">
            <v>BALANCE WITH CENTRAL BANK</v>
          </cell>
          <cell r="Q437" t="e">
            <v>#REF!</v>
          </cell>
        </row>
        <row r="438">
          <cell r="B438" t="str">
            <v>GENERAL PROVISION - UK</v>
          </cell>
          <cell r="E438">
            <v>0</v>
          </cell>
          <cell r="G438">
            <v>0</v>
          </cell>
          <cell r="I438">
            <v>0</v>
          </cell>
          <cell r="P438" t="str">
            <v>BALANCE WITH LOCAL/OTHER BANKS</v>
          </cell>
          <cell r="Q438" t="e">
            <v>#REF!</v>
          </cell>
        </row>
        <row r="439">
          <cell r="E439">
            <v>0</v>
          </cell>
          <cell r="G439">
            <v>0</v>
          </cell>
          <cell r="I439">
            <v>0</v>
          </cell>
          <cell r="P439" t="str">
            <v>BALANCE WITH FOREIGN BANKS</v>
          </cell>
          <cell r="Q439" t="e">
            <v>#REF!</v>
          </cell>
        </row>
        <row r="440">
          <cell r="E440">
            <v>0</v>
          </cell>
          <cell r="G440">
            <v>0</v>
          </cell>
          <cell r="I440">
            <v>0</v>
          </cell>
          <cell r="Q440" t="e">
            <v>#REF!</v>
          </cell>
        </row>
        <row r="441">
          <cell r="E441">
            <v>0</v>
          </cell>
          <cell r="G441">
            <v>0</v>
          </cell>
          <cell r="I441">
            <v>0</v>
          </cell>
          <cell r="P441" t="e">
            <v>#REF!</v>
          </cell>
          <cell r="Q441" t="e">
            <v>#REF!</v>
          </cell>
        </row>
        <row r="442">
          <cell r="B442" t="str">
            <v>D E P O S I T S</v>
          </cell>
          <cell r="E442">
            <v>0</v>
          </cell>
          <cell r="G442">
            <v>0</v>
          </cell>
          <cell r="I442">
            <v>0</v>
          </cell>
          <cell r="P442" t="e">
            <v>#REF!</v>
          </cell>
          <cell r="Q442" t="e">
            <v>#REF!</v>
          </cell>
        </row>
        <row r="443">
          <cell r="B443" t="str">
            <v>---------------</v>
          </cell>
          <cell r="E443">
            <v>0</v>
          </cell>
          <cell r="G443">
            <v>0</v>
          </cell>
          <cell r="I443">
            <v>0</v>
          </cell>
          <cell r="P443" t="e">
            <v>#REF!</v>
          </cell>
          <cell r="Q443" t="e">
            <v>#REF!</v>
          </cell>
        </row>
        <row r="444">
          <cell r="B444" t="str">
            <v>CURRENT DEPOSITS</v>
          </cell>
          <cell r="D444">
            <v>589061.12</v>
          </cell>
          <cell r="E444">
            <v>29771149.004799999</v>
          </cell>
          <cell r="F444">
            <v>258507.12</v>
          </cell>
          <cell r="G444">
            <v>13064949.844799999</v>
          </cell>
          <cell r="H444">
            <v>27426723.82</v>
          </cell>
          <cell r="I444">
            <v>380957193.85980004</v>
          </cell>
          <cell r="Q444" t="e">
            <v>#REF!</v>
          </cell>
        </row>
        <row r="445">
          <cell r="B445" t="str">
            <v>CALL DEPOSITS</v>
          </cell>
          <cell r="E445">
            <v>0</v>
          </cell>
          <cell r="G445">
            <v>0</v>
          </cell>
          <cell r="H445">
            <v>64844.52</v>
          </cell>
          <cell r="I445">
            <v>900690.38280000002</v>
          </cell>
          <cell r="P445" t="e">
            <v>#REF!</v>
          </cell>
          <cell r="Q445" t="e">
            <v>#REF!</v>
          </cell>
        </row>
        <row r="446">
          <cell r="B446" t="str">
            <v>FOREIGN CURRENCY CURRENT DEPOSITS</v>
          </cell>
          <cell r="E446">
            <v>0</v>
          </cell>
          <cell r="F446">
            <v>12324.88</v>
          </cell>
          <cell r="G446">
            <v>622899.43519999995</v>
          </cell>
          <cell r="H446">
            <v>892474.36</v>
          </cell>
          <cell r="I446">
            <v>12396468.860400001</v>
          </cell>
          <cell r="P446" t="str">
            <v>CALL LOAN TO BANKERS</v>
          </cell>
          <cell r="Q446" t="e">
            <v>#REF!</v>
          </cell>
        </row>
        <row r="447">
          <cell r="B447" t="str">
            <v xml:space="preserve"> </v>
          </cell>
          <cell r="E447">
            <v>0</v>
          </cell>
          <cell r="G447">
            <v>0</v>
          </cell>
          <cell r="I447">
            <v>0</v>
          </cell>
          <cell r="Q447" t="e">
            <v>#REF!</v>
          </cell>
        </row>
        <row r="448">
          <cell r="B448" t="str">
            <v>MARGIN ON L.G.</v>
          </cell>
          <cell r="E448">
            <v>0</v>
          </cell>
          <cell r="F448">
            <v>10062</v>
          </cell>
          <cell r="G448">
            <v>508533.48</v>
          </cell>
          <cell r="H448">
            <v>414196</v>
          </cell>
          <cell r="I448">
            <v>5753182.4400000004</v>
          </cell>
          <cell r="P448" t="str">
            <v>INVESTMENT-GOVT. SECURITIES</v>
          </cell>
          <cell r="Q448" t="e">
            <v>#REF!</v>
          </cell>
        </row>
        <row r="449">
          <cell r="B449" t="str">
            <v>MARGIN ON L.C.</v>
          </cell>
          <cell r="E449">
            <v>0</v>
          </cell>
          <cell r="F449">
            <v>15523</v>
          </cell>
          <cell r="G449">
            <v>784532.42</v>
          </cell>
          <cell r="H449">
            <v>682700</v>
          </cell>
          <cell r="I449">
            <v>9482703</v>
          </cell>
          <cell r="Q449" t="e">
            <v>#REF!</v>
          </cell>
        </row>
        <row r="450">
          <cell r="B450" t="str">
            <v>SUNDRY CREDITOR</v>
          </cell>
          <cell r="D450">
            <v>2721048.53</v>
          </cell>
          <cell r="E450">
            <v>137521792.70619997</v>
          </cell>
          <cell r="F450">
            <v>553.75</v>
          </cell>
          <cell r="G450">
            <v>27986.524999999998</v>
          </cell>
          <cell r="H450">
            <v>1403162</v>
          </cell>
          <cell r="I450">
            <v>19489920.18</v>
          </cell>
          <cell r="P450" t="str">
            <v>A D V A N C E S</v>
          </cell>
          <cell r="Q450" t="e">
            <v>#REF!</v>
          </cell>
        </row>
        <row r="451">
          <cell r="B451" t="str">
            <v>OTHERS</v>
          </cell>
          <cell r="E451">
            <v>0</v>
          </cell>
          <cell r="F451">
            <v>6782.83</v>
          </cell>
          <cell r="G451">
            <v>342804.22820000001</v>
          </cell>
          <cell r="I451">
            <v>0</v>
          </cell>
          <cell r="P451" t="str">
            <v>---------------</v>
          </cell>
          <cell r="Q451" t="e">
            <v>#REF!</v>
          </cell>
        </row>
        <row r="452">
          <cell r="E452">
            <v>0</v>
          </cell>
          <cell r="G452">
            <v>0</v>
          </cell>
          <cell r="I452">
            <v>0</v>
          </cell>
          <cell r="P452" t="str">
            <v>STAFF LOANS</v>
          </cell>
          <cell r="Q452" t="e">
            <v>#REF!</v>
          </cell>
        </row>
        <row r="453">
          <cell r="B453" t="str">
            <v>DEPOSITS FROM BANKS-CURRENT</v>
          </cell>
          <cell r="D453">
            <v>596261.56999999995</v>
          </cell>
          <cell r="E453">
            <v>30135059.747799996</v>
          </cell>
          <cell r="G453">
            <v>0</v>
          </cell>
          <cell r="H453">
            <v>212969.5</v>
          </cell>
          <cell r="I453">
            <v>2958146.355</v>
          </cell>
          <cell r="P453" t="str">
            <v>LOANS</v>
          </cell>
          <cell r="Q453" t="e">
            <v>#REF!</v>
          </cell>
        </row>
        <row r="454">
          <cell r="B454" t="str">
            <v>DEPOSITS FROM BANKS-CALL</v>
          </cell>
          <cell r="E454">
            <v>0</v>
          </cell>
          <cell r="G454">
            <v>0</v>
          </cell>
          <cell r="I454">
            <v>0</v>
          </cell>
          <cell r="P454" t="str">
            <v>LOANS AGST.IMP.MERCH.</v>
          </cell>
          <cell r="Q454" t="e">
            <v>#REF!</v>
          </cell>
        </row>
        <row r="455">
          <cell r="B455" t="str">
            <v>DEPOSITS FROM BANKS-TIME</v>
          </cell>
          <cell r="E455">
            <v>0</v>
          </cell>
          <cell r="F455">
            <v>16500000</v>
          </cell>
          <cell r="G455">
            <v>833910000</v>
          </cell>
          <cell r="I455">
            <v>0</v>
          </cell>
          <cell r="P455" t="str">
            <v>LOANS AGST.FOREIGN BILLS</v>
          </cell>
          <cell r="Q455" t="e">
            <v>#REF!</v>
          </cell>
        </row>
        <row r="456">
          <cell r="E456">
            <v>0</v>
          </cell>
          <cell r="G456">
            <v>0</v>
          </cell>
          <cell r="I456">
            <v>0</v>
          </cell>
          <cell r="P456" t="str">
            <v>LOAN AGAINST PACKING CREDIT</v>
          </cell>
          <cell r="Q456" t="e">
            <v>#REF!</v>
          </cell>
        </row>
        <row r="457">
          <cell r="B457" t="str">
            <v>DEPOSITS FROM BRANCHES-CURRENT</v>
          </cell>
          <cell r="D457">
            <v>15293531.859999999</v>
          </cell>
          <cell r="E457">
            <v>772935100.20439994</v>
          </cell>
          <cell r="G457">
            <v>0</v>
          </cell>
          <cell r="H457">
            <v>321132.86</v>
          </cell>
          <cell r="I457">
            <v>4460535.4254000001</v>
          </cell>
          <cell r="P457" t="str">
            <v>LOANS AGST.TRUST RECEIPTS</v>
          </cell>
          <cell r="Q457" t="e">
            <v>#REF!</v>
          </cell>
        </row>
        <row r="458">
          <cell r="B458" t="str">
            <v>DEPOSITS FROM BRANCHES-CALL</v>
          </cell>
          <cell r="E458">
            <v>0</v>
          </cell>
          <cell r="G458">
            <v>0</v>
          </cell>
          <cell r="I458">
            <v>0</v>
          </cell>
          <cell r="Q458" t="e">
            <v>#REF!</v>
          </cell>
        </row>
        <row r="459">
          <cell r="B459" t="str">
            <v>DEPOSITS FROM BRANCHES-FIXED</v>
          </cell>
          <cell r="E459">
            <v>0</v>
          </cell>
          <cell r="F459">
            <v>95366438.319999993</v>
          </cell>
          <cell r="G459">
            <v>4819819792.6927996</v>
          </cell>
          <cell r="I459">
            <v>0</v>
          </cell>
          <cell r="P459" t="e">
            <v>#REF!</v>
          </cell>
          <cell r="Q459" t="e">
            <v>#REF!</v>
          </cell>
        </row>
        <row r="460">
          <cell r="B460" t="str">
            <v>HEAD OFFICE DEPOSITS</v>
          </cell>
          <cell r="E460">
            <v>0</v>
          </cell>
          <cell r="F460">
            <v>5630447.4800000004</v>
          </cell>
          <cell r="G460">
            <v>284562815.63920003</v>
          </cell>
          <cell r="H460">
            <v>169396.52</v>
          </cell>
          <cell r="I460">
            <v>2352917.6628</v>
          </cell>
          <cell r="P460" t="e">
            <v>#REF!</v>
          </cell>
          <cell r="Q460" t="e">
            <v>#REF!</v>
          </cell>
        </row>
        <row r="461">
          <cell r="I461">
            <v>0</v>
          </cell>
          <cell r="Q461" t="e">
            <v>#REF!</v>
          </cell>
        </row>
        <row r="462">
          <cell r="B462" t="str">
            <v>SAVING BANK DEPOSITS</v>
          </cell>
          <cell r="D462">
            <v>95633.94</v>
          </cell>
          <cell r="E462">
            <v>4833339.3276000004</v>
          </cell>
          <cell r="G462">
            <v>0</v>
          </cell>
          <cell r="H462">
            <v>28751359.390000001</v>
          </cell>
          <cell r="I462">
            <v>399356381.9271</v>
          </cell>
          <cell r="Q462" t="e">
            <v>#REF!</v>
          </cell>
        </row>
        <row r="463">
          <cell r="B463" t="str">
            <v>FOREIGN CURRENCY S.B.DEPOSITS</v>
          </cell>
          <cell r="E463">
            <v>0</v>
          </cell>
          <cell r="G463">
            <v>0</v>
          </cell>
          <cell r="I463">
            <v>0</v>
          </cell>
        </row>
        <row r="464">
          <cell r="E464">
            <v>0</v>
          </cell>
          <cell r="G464">
            <v>0</v>
          </cell>
          <cell r="I464">
            <v>0</v>
          </cell>
          <cell r="P464" t="str">
            <v>TEMPORARY OVERDRAFT</v>
          </cell>
          <cell r="Q464" t="e">
            <v>#REF!</v>
          </cell>
        </row>
        <row r="465">
          <cell r="B465" t="str">
            <v>FIXED DEPOSITS</v>
          </cell>
          <cell r="D465">
            <v>2344254.56</v>
          </cell>
          <cell r="E465">
            <v>118478625.4624</v>
          </cell>
          <cell r="F465">
            <v>12346621.640000001</v>
          </cell>
          <cell r="G465">
            <v>623998257.68560004</v>
          </cell>
          <cell r="H465">
            <v>67223061.109999999</v>
          </cell>
          <cell r="I465">
            <v>933728318.81790006</v>
          </cell>
          <cell r="P465" t="str">
            <v>CLEAN OVERDRAFT</v>
          </cell>
          <cell r="Q465" t="e">
            <v>#REF!</v>
          </cell>
        </row>
        <row r="466">
          <cell r="B466" t="str">
            <v>SHORT TERM DEPOSITS</v>
          </cell>
          <cell r="E466">
            <v>0</v>
          </cell>
          <cell r="G466">
            <v>0</v>
          </cell>
          <cell r="H466">
            <v>12526860.02</v>
          </cell>
          <cell r="I466">
            <v>173998085.6778</v>
          </cell>
          <cell r="P466" t="str">
            <v>SANCTIONED OVERDRAFT</v>
          </cell>
          <cell r="Q466" t="e">
            <v>#REF!</v>
          </cell>
        </row>
        <row r="467">
          <cell r="B467" t="str">
            <v>FOREIGN CURRENCY FIXED DEPOSITS</v>
          </cell>
          <cell r="E467">
            <v>0</v>
          </cell>
          <cell r="G467">
            <v>0</v>
          </cell>
          <cell r="H467">
            <v>68045916.120000005</v>
          </cell>
          <cell r="I467">
            <v>945157774.90680015</v>
          </cell>
          <cell r="Q467" t="e">
            <v>#REF!</v>
          </cell>
        </row>
        <row r="468">
          <cell r="B468" t="str">
            <v>F.CURRENCY SHORT TERM DEP.</v>
          </cell>
          <cell r="E468">
            <v>0</v>
          </cell>
          <cell r="G468">
            <v>0</v>
          </cell>
          <cell r="H468">
            <v>64697.73</v>
          </cell>
          <cell r="I468">
            <v>898651.46970000013</v>
          </cell>
          <cell r="P468" t="str">
            <v>PAD (OVERDUE IFDBC)</v>
          </cell>
          <cell r="Q468" t="e">
            <v>#REF!</v>
          </cell>
        </row>
        <row r="469">
          <cell r="E469">
            <v>0</v>
          </cell>
          <cell r="G469">
            <v>0</v>
          </cell>
          <cell r="I469">
            <v>0</v>
          </cell>
          <cell r="P469" t="str">
            <v>INLAND BILLS PURCHASED</v>
          </cell>
          <cell r="Q469" t="e">
            <v>#REF!</v>
          </cell>
        </row>
        <row r="470">
          <cell r="B470" t="str">
            <v>PAY ORDERS ISSUED</v>
          </cell>
          <cell r="E470">
            <v>0</v>
          </cell>
          <cell r="G470">
            <v>0</v>
          </cell>
          <cell r="H470">
            <v>218779</v>
          </cell>
          <cell r="I470">
            <v>3038840.31</v>
          </cell>
          <cell r="P470" t="str">
            <v>PAYMENT AGST. DOCUMENTS</v>
          </cell>
          <cell r="Q470" t="e">
            <v>#REF!</v>
          </cell>
        </row>
        <row r="471">
          <cell r="B471" t="str">
            <v>PAY SLIPS ISSUED</v>
          </cell>
          <cell r="E471">
            <v>0</v>
          </cell>
          <cell r="G471">
            <v>0</v>
          </cell>
          <cell r="I471">
            <v>0</v>
          </cell>
          <cell r="P471" t="str">
            <v>FOREIGN BILLS PUR/DISCOUNTED</v>
          </cell>
          <cell r="Q471" t="e">
            <v>#REF!</v>
          </cell>
        </row>
        <row r="472">
          <cell r="B472" t="str">
            <v>DEMAND DRAFTS PAYABLE</v>
          </cell>
          <cell r="E472">
            <v>0</v>
          </cell>
          <cell r="G472">
            <v>0</v>
          </cell>
          <cell r="I472">
            <v>0</v>
          </cell>
          <cell r="P472" t="str">
            <v>LOCAL BILLS DISCOUNTED</v>
          </cell>
          <cell r="Q472" t="e">
            <v>#REF!</v>
          </cell>
        </row>
        <row r="473">
          <cell r="B473" t="str">
            <v>TELEGRAPHIC TRANSFERS</v>
          </cell>
          <cell r="E473">
            <v>0</v>
          </cell>
          <cell r="G473">
            <v>0</v>
          </cell>
          <cell r="H473">
            <v>14975</v>
          </cell>
          <cell r="I473">
            <v>208002.75</v>
          </cell>
          <cell r="Q473" t="e">
            <v>#REF!</v>
          </cell>
        </row>
        <row r="474">
          <cell r="B474" t="str">
            <v>MAIL TRANSFER</v>
          </cell>
          <cell r="E474">
            <v>0</v>
          </cell>
          <cell r="G474">
            <v>0</v>
          </cell>
          <cell r="I474">
            <v>0</v>
          </cell>
          <cell r="P474" t="str">
            <v>OTHER ASSETS</v>
          </cell>
          <cell r="Q474" t="e">
            <v>#REF!</v>
          </cell>
        </row>
        <row r="475">
          <cell r="B475" t="str">
            <v>FOREIGN MAIL TRANSFERS</v>
          </cell>
          <cell r="E475">
            <v>0</v>
          </cell>
          <cell r="G475">
            <v>0</v>
          </cell>
          <cell r="I475">
            <v>0</v>
          </cell>
          <cell r="P475" t="str">
            <v>------------</v>
          </cell>
          <cell r="Q475" t="e">
            <v>#REF!</v>
          </cell>
        </row>
        <row r="476">
          <cell r="B476" t="str">
            <v>B/P - HEAD OFFICE</v>
          </cell>
          <cell r="E476">
            <v>0</v>
          </cell>
          <cell r="G476">
            <v>0</v>
          </cell>
          <cell r="I476">
            <v>0</v>
          </cell>
          <cell r="P476" t="str">
            <v>IMMOVABLE PROPERTY</v>
          </cell>
          <cell r="Q476" t="e">
            <v>#REF!</v>
          </cell>
        </row>
        <row r="477">
          <cell r="B477" t="str">
            <v>ADJUSTING ACCOUNT CREDIT</v>
          </cell>
          <cell r="D477">
            <v>106271.18</v>
          </cell>
          <cell r="E477">
            <v>5370945.4371999996</v>
          </cell>
          <cell r="F477">
            <v>316344</v>
          </cell>
          <cell r="G477">
            <v>15988025.76</v>
          </cell>
          <cell r="H477">
            <v>2015950</v>
          </cell>
          <cell r="I477">
            <v>28001545.5</v>
          </cell>
          <cell r="P477" t="str">
            <v>FURNITURE &amp; FIXTURE</v>
          </cell>
          <cell r="Q477" t="e">
            <v>#REF!</v>
          </cell>
        </row>
        <row r="478">
          <cell r="E478">
            <v>0</v>
          </cell>
          <cell r="G478">
            <v>0</v>
          </cell>
          <cell r="I478">
            <v>0</v>
          </cell>
          <cell r="P478" t="str">
            <v>STOCK OF STATIONERY</v>
          </cell>
          <cell r="Q478" t="e">
            <v>#REF!</v>
          </cell>
        </row>
        <row r="479">
          <cell r="B479" t="str">
            <v>BORROWINGS FROM BANKS</v>
          </cell>
          <cell r="D479">
            <v>14800000</v>
          </cell>
          <cell r="E479">
            <v>747992000</v>
          </cell>
          <cell r="G479">
            <v>0</v>
          </cell>
          <cell r="I479">
            <v>0</v>
          </cell>
          <cell r="P479" t="str">
            <v>STAMPS ON HAND</v>
          </cell>
          <cell r="Q479" t="e">
            <v>#REF!</v>
          </cell>
        </row>
        <row r="480">
          <cell r="B480" t="str">
            <v>BORROWINGS FROM BRANCHES</v>
          </cell>
          <cell r="D480">
            <v>1350000</v>
          </cell>
          <cell r="E480">
            <v>68229000</v>
          </cell>
          <cell r="G480">
            <v>0</v>
          </cell>
          <cell r="I480">
            <v>0</v>
          </cell>
          <cell r="P480" t="str">
            <v>ADVANCE DEPOSITS</v>
          </cell>
          <cell r="Q480" t="e">
            <v>#REF!</v>
          </cell>
        </row>
        <row r="481">
          <cell r="E481">
            <v>0</v>
          </cell>
          <cell r="G481">
            <v>0</v>
          </cell>
          <cell r="I481">
            <v>0</v>
          </cell>
          <cell r="P481" t="str">
            <v>LEASE HOLD IMPROVEMENT</v>
          </cell>
          <cell r="Q481" t="e">
            <v>#REF!</v>
          </cell>
        </row>
        <row r="482">
          <cell r="B482" t="str">
            <v>OTHER LIABILITIES</v>
          </cell>
          <cell r="E482">
            <v>0</v>
          </cell>
          <cell r="G482">
            <v>0</v>
          </cell>
          <cell r="I482">
            <v>0</v>
          </cell>
          <cell r="Q482" t="e">
            <v>#REF!</v>
          </cell>
        </row>
        <row r="483">
          <cell r="B483" t="str">
            <v>-----------------</v>
          </cell>
          <cell r="E483">
            <v>0</v>
          </cell>
          <cell r="G483">
            <v>0</v>
          </cell>
          <cell r="I483">
            <v>0</v>
          </cell>
          <cell r="Q483" t="e">
            <v>#REF!</v>
          </cell>
        </row>
        <row r="484">
          <cell r="B484" t="str">
            <v>INTEREST ON CLASSIFIED ADVANCES</v>
          </cell>
          <cell r="D484">
            <v>527659.87</v>
          </cell>
          <cell r="E484">
            <v>26667929.829799999</v>
          </cell>
          <cell r="F484">
            <v>13079232.449999999</v>
          </cell>
          <cell r="G484">
            <v>661024408.023</v>
          </cell>
          <cell r="H484">
            <v>10026787.970000001</v>
          </cell>
          <cell r="I484">
            <v>139272084.90330002</v>
          </cell>
          <cell r="P484" t="str">
            <v>SUSPENSE ACCOUNT</v>
          </cell>
          <cell r="Q484" t="e">
            <v>#REF!</v>
          </cell>
        </row>
        <row r="485">
          <cell r="B485" t="str">
            <v>PROVISION FOR TAX</v>
          </cell>
          <cell r="E485">
            <v>0</v>
          </cell>
          <cell r="G485">
            <v>0</v>
          </cell>
          <cell r="I485">
            <v>0</v>
          </cell>
          <cell r="P485" t="str">
            <v>----------------</v>
          </cell>
          <cell r="Q485" t="e">
            <v>#REF!</v>
          </cell>
        </row>
        <row r="486">
          <cell r="B486" t="str">
            <v>ACCMULATED DEPRECIATION ON F/F</v>
          </cell>
          <cell r="E486">
            <v>0</v>
          </cell>
          <cell r="G486">
            <v>0</v>
          </cell>
          <cell r="I486">
            <v>0</v>
          </cell>
          <cell r="P486" t="str">
            <v>SUNDRY DEBTORS</v>
          </cell>
          <cell r="Q486" t="e">
            <v>#REF!</v>
          </cell>
        </row>
        <row r="487">
          <cell r="B487" t="str">
            <v>OTHERS</v>
          </cell>
          <cell r="E487">
            <v>0</v>
          </cell>
          <cell r="G487">
            <v>0</v>
          </cell>
          <cell r="H487">
            <v>967000</v>
          </cell>
          <cell r="I487">
            <v>13431630</v>
          </cell>
          <cell r="P487" t="str">
            <v>D.D.PAID WITHOUT ADVICE</v>
          </cell>
          <cell r="Q487" t="e">
            <v>#REF!</v>
          </cell>
        </row>
        <row r="488">
          <cell r="B488" t="str">
            <v>CONTRA CASH ATM</v>
          </cell>
          <cell r="E488">
            <v>0</v>
          </cell>
          <cell r="G488">
            <v>0</v>
          </cell>
          <cell r="I488">
            <v>0</v>
          </cell>
          <cell r="P488" t="str">
            <v>D.DS. CANCELLED</v>
          </cell>
          <cell r="Q488" t="e">
            <v>#REF!</v>
          </cell>
        </row>
        <row r="489">
          <cell r="B489" t="str">
            <v>PROV.FOR DIMUNATION VAL.</v>
          </cell>
          <cell r="E489">
            <v>0</v>
          </cell>
          <cell r="F489">
            <v>206880</v>
          </cell>
          <cell r="G489">
            <v>10455715.199999999</v>
          </cell>
          <cell r="I489">
            <v>0</v>
          </cell>
          <cell r="P489" t="str">
            <v>ADVANCE AGST. T.A.BILLS/SALARY</v>
          </cell>
          <cell r="Q489" t="e">
            <v>#REF!</v>
          </cell>
        </row>
        <row r="490">
          <cell r="P490" t="str">
            <v>CLEARING/T.D.ADJUSTMENTS</v>
          </cell>
          <cell r="Q490" t="e">
            <v>#REF!</v>
          </cell>
        </row>
        <row r="491">
          <cell r="B491" t="str">
            <v>BALANCE OF LOCAL/OTHER BANKS</v>
          </cell>
          <cell r="E491">
            <v>0</v>
          </cell>
          <cell r="G491">
            <v>0</v>
          </cell>
          <cell r="I491">
            <v>0</v>
          </cell>
          <cell r="P491" t="str">
            <v>ADVANCE RENT PAID</v>
          </cell>
          <cell r="Q491" t="e">
            <v>#REF!</v>
          </cell>
        </row>
        <row r="492">
          <cell r="B492" t="str">
            <v>BALANCE OF FOREIGN BANKS</v>
          </cell>
          <cell r="E492">
            <v>0</v>
          </cell>
          <cell r="G492">
            <v>0</v>
          </cell>
          <cell r="I492">
            <v>0</v>
          </cell>
        </row>
        <row r="493">
          <cell r="E493">
            <v>0</v>
          </cell>
          <cell r="G493">
            <v>0</v>
          </cell>
          <cell r="I493">
            <v>0</v>
          </cell>
          <cell r="P493" t="str">
            <v>POSTAGE/TELEPHONE/PETTY CASH</v>
          </cell>
          <cell r="Q493" t="e">
            <v>#REF!</v>
          </cell>
        </row>
        <row r="494">
          <cell r="B494" t="str">
            <v>BALANCE OF LOCAL UBL BRS.</v>
          </cell>
          <cell r="E494">
            <v>0</v>
          </cell>
          <cell r="G494">
            <v>0</v>
          </cell>
          <cell r="I494">
            <v>0</v>
          </cell>
          <cell r="P494" t="str">
            <v>LEGAL EXPENSES</v>
          </cell>
          <cell r="Q494" t="e">
            <v>#REF!</v>
          </cell>
        </row>
        <row r="495">
          <cell r="B495" t="str">
            <v>BALANCE OF FOREIGN UBL BRS.</v>
          </cell>
          <cell r="E495">
            <v>0</v>
          </cell>
          <cell r="G495">
            <v>0</v>
          </cell>
          <cell r="I495">
            <v>0</v>
          </cell>
          <cell r="P495" t="str">
            <v>OTHERS</v>
          </cell>
          <cell r="Q495" t="e">
            <v>#REF!</v>
          </cell>
        </row>
        <row r="496">
          <cell r="E496">
            <v>0</v>
          </cell>
          <cell r="G496">
            <v>0</v>
          </cell>
          <cell r="I496">
            <v>0</v>
          </cell>
          <cell r="P496" t="e">
            <v>#REF!</v>
          </cell>
          <cell r="Q496" t="e">
            <v>#REF!</v>
          </cell>
        </row>
        <row r="497">
          <cell r="B497" t="str">
            <v xml:space="preserve">C O N T R A </v>
          </cell>
          <cell r="E497">
            <v>0</v>
          </cell>
          <cell r="G497">
            <v>0</v>
          </cell>
          <cell r="I497">
            <v>0</v>
          </cell>
          <cell r="Q497" t="e">
            <v>#REF!</v>
          </cell>
        </row>
        <row r="498">
          <cell r="B498" t="str">
            <v>-----------</v>
          </cell>
          <cell r="E498">
            <v>0</v>
          </cell>
          <cell r="G498">
            <v>0</v>
          </cell>
          <cell r="I498">
            <v>0</v>
          </cell>
          <cell r="Q498" t="e">
            <v>#REF!</v>
          </cell>
        </row>
        <row r="499">
          <cell r="B499" t="str">
            <v>BILLS FOR COLLECTION</v>
          </cell>
          <cell r="E499">
            <v>0</v>
          </cell>
          <cell r="G499">
            <v>0</v>
          </cell>
          <cell r="I499">
            <v>0</v>
          </cell>
          <cell r="P499" t="str">
            <v xml:space="preserve">C O N T R A </v>
          </cell>
          <cell r="Q499" t="e">
            <v>#REF!</v>
          </cell>
        </row>
        <row r="500">
          <cell r="B500" t="str">
            <v>FOREIGN BILLS FOR COLLECTION</v>
          </cell>
          <cell r="D500">
            <v>18620913</v>
          </cell>
          <cell r="E500">
            <v>941100943.01999998</v>
          </cell>
          <cell r="F500">
            <v>764286</v>
          </cell>
          <cell r="G500">
            <v>38627014.439999998</v>
          </cell>
          <cell r="H500">
            <v>9687850</v>
          </cell>
          <cell r="I500">
            <v>134564236.5</v>
          </cell>
          <cell r="P500" t="str">
            <v>-----------</v>
          </cell>
          <cell r="Q500" t="e">
            <v>#REF!</v>
          </cell>
        </row>
        <row r="501">
          <cell r="B501" t="str">
            <v>BANKER'S LIABILITY L.G.</v>
          </cell>
          <cell r="E501">
            <v>0</v>
          </cell>
          <cell r="F501">
            <v>10062</v>
          </cell>
          <cell r="G501">
            <v>508533.48</v>
          </cell>
          <cell r="H501">
            <v>17466800</v>
          </cell>
          <cell r="I501">
            <v>242613852</v>
          </cell>
          <cell r="P501" t="str">
            <v>BILLS LODGED</v>
          </cell>
          <cell r="Q501" t="e">
            <v>#REF!</v>
          </cell>
        </row>
        <row r="502">
          <cell r="B502" t="str">
            <v>BANKER'S LIABILITY L.C.</v>
          </cell>
          <cell r="D502">
            <v>658954</v>
          </cell>
          <cell r="E502">
            <v>33303535.16</v>
          </cell>
          <cell r="F502">
            <v>144537</v>
          </cell>
          <cell r="G502">
            <v>7304899.9799999995</v>
          </cell>
          <cell r="H502">
            <v>15131600</v>
          </cell>
          <cell r="I502">
            <v>210177924</v>
          </cell>
          <cell r="P502" t="str">
            <v>FOREIGN BILLS LODGED</v>
          </cell>
          <cell r="Q502" t="e">
            <v>#REF!</v>
          </cell>
        </row>
        <row r="503">
          <cell r="B503" t="str">
            <v>BANKER'S LIABILITY L.C.(GOVT.)</v>
          </cell>
          <cell r="E503">
            <v>0</v>
          </cell>
          <cell r="G503">
            <v>0</v>
          </cell>
          <cell r="I503">
            <v>0</v>
          </cell>
          <cell r="P503" t="str">
            <v>CURTOMER'S LIABILITY L.G.</v>
          </cell>
          <cell r="Q503" t="e">
            <v>#REF!</v>
          </cell>
        </row>
        <row r="504">
          <cell r="B504" t="str">
            <v>BANKER'S LIABILITY S.G.</v>
          </cell>
          <cell r="D504">
            <v>19672</v>
          </cell>
          <cell r="E504">
            <v>994222.88</v>
          </cell>
          <cell r="G504">
            <v>0</v>
          </cell>
          <cell r="H504">
            <v>298500</v>
          </cell>
          <cell r="I504">
            <v>4146165</v>
          </cell>
          <cell r="P504" t="str">
            <v>CUSTOMER'S LIABILITY L.C.</v>
          </cell>
          <cell r="Q504" t="e">
            <v>#REF!</v>
          </cell>
        </row>
        <row r="505">
          <cell r="E505">
            <v>0</v>
          </cell>
          <cell r="G505">
            <v>0</v>
          </cell>
          <cell r="I505">
            <v>0</v>
          </cell>
          <cell r="P505" t="str">
            <v>CUSTOMER'S LIABILITY L.C.(GOVT)</v>
          </cell>
          <cell r="Q505" t="e">
            <v>#REF!</v>
          </cell>
        </row>
        <row r="506">
          <cell r="B506" t="str">
            <v>MAIN OFFICE ACCOUNT</v>
          </cell>
          <cell r="E506">
            <v>0</v>
          </cell>
          <cell r="G506">
            <v>0</v>
          </cell>
          <cell r="I506">
            <v>0</v>
          </cell>
          <cell r="P506" t="str">
            <v>CUSTOMER'S LIABILITY S.G.</v>
          </cell>
          <cell r="Q506" t="e">
            <v>#REF!</v>
          </cell>
        </row>
        <row r="507">
          <cell r="E507">
            <v>0</v>
          </cell>
          <cell r="G507">
            <v>0</v>
          </cell>
          <cell r="I507">
            <v>0</v>
          </cell>
          <cell r="Q507" t="e">
            <v>#REF!</v>
          </cell>
        </row>
        <row r="508">
          <cell r="B508" t="str">
            <v>INCOME ACCOUNT</v>
          </cell>
          <cell r="D508">
            <v>3386436.03</v>
          </cell>
          <cell r="E508">
            <v>171150476.95619997</v>
          </cell>
          <cell r="F508">
            <v>8082215.7599999998</v>
          </cell>
          <cell r="G508">
            <v>408475184.5104</v>
          </cell>
          <cell r="H508">
            <v>19820650.32</v>
          </cell>
          <cell r="I508">
            <v>275308832.94480002</v>
          </cell>
          <cell r="P508" t="str">
            <v>MAIN OFFICE ACCOUNT</v>
          </cell>
          <cell r="Q508" t="e">
            <v>#REF!</v>
          </cell>
        </row>
        <row r="509">
          <cell r="B509" t="str">
            <v>EXPENDITURE A/C. (CREDIT)</v>
          </cell>
          <cell r="E509">
            <v>0</v>
          </cell>
          <cell r="G509">
            <v>0</v>
          </cell>
          <cell r="I509">
            <v>0</v>
          </cell>
          <cell r="Q509" t="e">
            <v>#REF!</v>
          </cell>
        </row>
        <row r="510">
          <cell r="I510">
            <v>0</v>
          </cell>
          <cell r="P510" t="str">
            <v>EXPENDITURE ACCOUNT</v>
          </cell>
          <cell r="Q510" t="e">
            <v>#REF!</v>
          </cell>
        </row>
        <row r="511">
          <cell r="B511" t="str">
            <v>-</v>
          </cell>
          <cell r="D511" t="str">
            <v>-</v>
          </cell>
          <cell r="E511" t="str">
            <v>-</v>
          </cell>
          <cell r="F511" t="str">
            <v>-</v>
          </cell>
          <cell r="G511" t="str">
            <v>-</v>
          </cell>
          <cell r="H511" t="str">
            <v>-</v>
          </cell>
          <cell r="I511" t="str">
            <v>-</v>
          </cell>
          <cell r="P511" t="str">
            <v>INCOME ACCOUNT (DEBIT)</v>
          </cell>
          <cell r="Q511" t="e">
            <v>#REF!</v>
          </cell>
        </row>
        <row r="512">
          <cell r="B512" t="str">
            <v>TOTAL LIABILITIES</v>
          </cell>
          <cell r="D512">
            <v>67205281.719999999</v>
          </cell>
          <cell r="E512">
            <v>3396554938.1287999</v>
          </cell>
          <cell r="F512">
            <v>159386762.22999996</v>
          </cell>
          <cell r="G512">
            <v>8055406963.1041985</v>
          </cell>
          <cell r="H512">
            <v>323034178.5</v>
          </cell>
          <cell r="I512">
            <v>4486944739.3650007</v>
          </cell>
        </row>
        <row r="513">
          <cell r="B513" t="str">
            <v>-</v>
          </cell>
          <cell r="D513" t="str">
            <v>-</v>
          </cell>
          <cell r="E513" t="str">
            <v>-</v>
          </cell>
          <cell r="F513" t="str">
            <v>-</v>
          </cell>
          <cell r="G513" t="str">
            <v>-</v>
          </cell>
          <cell r="H513" t="str">
            <v>-</v>
          </cell>
          <cell r="I513" t="str">
            <v>-</v>
          </cell>
          <cell r="P513" t="str">
            <v>-</v>
          </cell>
          <cell r="Q513" t="str">
            <v>-</v>
          </cell>
        </row>
        <row r="514">
          <cell r="B514" t="str">
            <v>LIABILITIES</v>
          </cell>
          <cell r="D514">
            <v>67205281.719999999</v>
          </cell>
          <cell r="E514">
            <v>3396554938.1287999</v>
          </cell>
          <cell r="F514">
            <v>159386762.22999999</v>
          </cell>
          <cell r="G514">
            <v>8055406963.1041994</v>
          </cell>
          <cell r="H514">
            <v>323034178.5</v>
          </cell>
          <cell r="I514">
            <v>4486944739.3649998</v>
          </cell>
          <cell r="P514" t="str">
            <v>TOTAL ASSETS</v>
          </cell>
          <cell r="Q514" t="e">
            <v>#REF!</v>
          </cell>
        </row>
        <row r="515">
          <cell r="B515" t="str">
            <v>-</v>
          </cell>
          <cell r="D515" t="str">
            <v>-</v>
          </cell>
          <cell r="E515" t="str">
            <v>-</v>
          </cell>
          <cell r="F515" t="str">
            <v>-</v>
          </cell>
          <cell r="G515" t="str">
            <v>-</v>
          </cell>
          <cell r="H515" t="str">
            <v>-</v>
          </cell>
          <cell r="I515" t="str">
            <v>-</v>
          </cell>
          <cell r="P515" t="str">
            <v>-</v>
          </cell>
          <cell r="Q515" t="str">
            <v>-</v>
          </cell>
        </row>
        <row r="516">
          <cell r="B516" t="str">
            <v>DIFFERENCE</v>
          </cell>
          <cell r="D516">
            <v>0</v>
          </cell>
          <cell r="E516">
            <v>0</v>
          </cell>
          <cell r="F516">
            <v>0</v>
          </cell>
          <cell r="G516">
            <v>0</v>
          </cell>
          <cell r="H516">
            <v>0</v>
          </cell>
          <cell r="I516">
            <v>0</v>
          </cell>
          <cell r="P516" t="str">
            <v>ASSETS</v>
          </cell>
          <cell r="Q516" t="e">
            <v>#REF!</v>
          </cell>
        </row>
        <row r="517">
          <cell r="B517" t="str">
            <v>-</v>
          </cell>
          <cell r="D517" t="str">
            <v>-</v>
          </cell>
          <cell r="E517" t="str">
            <v>-</v>
          </cell>
          <cell r="F517" t="str">
            <v>-</v>
          </cell>
          <cell r="G517" t="str">
            <v>-</v>
          </cell>
          <cell r="H517" t="str">
            <v>-</v>
          </cell>
          <cell r="I517" t="str">
            <v>-</v>
          </cell>
          <cell r="P517" t="str">
            <v>-</v>
          </cell>
          <cell r="Q517" t="str">
            <v>-</v>
          </cell>
        </row>
        <row r="518">
          <cell r="B518" t="str">
            <v>DEPOSITS</v>
          </cell>
          <cell r="D518">
            <v>21639791.579999998</v>
          </cell>
          <cell r="E518">
            <v>1093675066.4531999</v>
          </cell>
          <cell r="F518">
            <v>130147261.02</v>
          </cell>
          <cell r="G518">
            <v>6577642571.9507999</v>
          </cell>
          <cell r="H518">
            <v>208199493.94999999</v>
          </cell>
          <cell r="I518">
            <v>2891890970.9654999</v>
          </cell>
          <cell r="P518" t="str">
            <v>DIFFERENCE</v>
          </cell>
          <cell r="Q518" t="e">
            <v>#REF!</v>
          </cell>
        </row>
        <row r="519">
          <cell r="B519" t="str">
            <v>-</v>
          </cell>
          <cell r="D519" t="str">
            <v>-</v>
          </cell>
          <cell r="E519" t="str">
            <v>-</v>
          </cell>
          <cell r="F519" t="str">
            <v>-</v>
          </cell>
          <cell r="G519" t="str">
            <v>-</v>
          </cell>
          <cell r="H519" t="str">
            <v>-</v>
          </cell>
          <cell r="I519" t="str">
            <v>-</v>
          </cell>
          <cell r="P519" t="str">
            <v>-</v>
          </cell>
          <cell r="Q519" t="str">
            <v>-</v>
          </cell>
        </row>
        <row r="520">
          <cell r="B520" t="str">
            <v>INTER BRANCH DEPOSITS</v>
          </cell>
          <cell r="D520">
            <v>15293531.859999999</v>
          </cell>
          <cell r="E520">
            <v>772935100.20439994</v>
          </cell>
          <cell r="F520">
            <v>100996885.8</v>
          </cell>
          <cell r="G520">
            <v>5104382608.3319998</v>
          </cell>
          <cell r="H520">
            <v>490529.38</v>
          </cell>
          <cell r="I520">
            <v>6813453.0882000001</v>
          </cell>
          <cell r="P520" t="str">
            <v>ADVANCES</v>
          </cell>
          <cell r="Q520" t="e">
            <v>#REF!</v>
          </cell>
        </row>
        <row r="521">
          <cell r="B521" t="str">
            <v>NET DEPOSITS</v>
          </cell>
          <cell r="D521">
            <v>6346259.7199999988</v>
          </cell>
          <cell r="E521">
            <v>320739966.24879992</v>
          </cell>
          <cell r="F521">
            <v>29150375.219999999</v>
          </cell>
          <cell r="G521">
            <v>1473259963.6188002</v>
          </cell>
          <cell r="H521">
            <v>207708964.56999999</v>
          </cell>
          <cell r="I521">
            <v>2885077517.8772998</v>
          </cell>
          <cell r="P521" t="str">
            <v>-</v>
          </cell>
          <cell r="Q521" t="str">
            <v>-</v>
          </cell>
        </row>
        <row r="522">
          <cell r="A522" t="str">
            <v>|::</v>
          </cell>
          <cell r="P522" t="str">
            <v>INTER BRANCH ADVANCES</v>
          </cell>
          <cell r="Q522" t="e">
            <v>#REF!</v>
          </cell>
        </row>
        <row r="523">
          <cell r="P523" t="str">
            <v>NET ADVANCES</v>
          </cell>
          <cell r="Q523"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Certification "/>
      <sheetName val="TB"/>
      <sheetName val="Comprehensive statement"/>
      <sheetName val="DS"/>
      <sheetName val="Unit holders' statement"/>
      <sheetName val="UHF"/>
      <sheetName val="UHF-LY"/>
      <sheetName val="Sheet2"/>
      <sheetName val="3-4"/>
      <sheetName val="6-7.2"/>
      <sheetName val="8-13"/>
      <sheetName val="N 15 - 16.3"/>
      <sheetName val="13.2-13.3"/>
      <sheetName val="....."/>
      <sheetName val="Fair value"/>
      <sheetName val="15-16"/>
      <sheetName val="26"/>
      <sheetName val="30 June 2016"/>
      <sheetName val="tb 2016"/>
      <sheetName val="TB2014"/>
      <sheetName val="ISE"/>
      <sheetName val="TB - 31 dec"/>
      <sheetName val="Sheet3"/>
      <sheetName val="RP supports"/>
      <sheetName val="RP"/>
      <sheetName val="maturity"/>
      <sheetName val="brokerage"/>
      <sheetName val="sensitivity PIB Tbills"/>
      <sheetName val="sensitivity SUKUKs"/>
      <sheetName val="Note 23-1"/>
      <sheetName val="Sheet1"/>
    </sheetNames>
    <sheetDataSet>
      <sheetData sheetId="0"/>
      <sheetData sheetId="1"/>
      <sheetData sheetId="2"/>
      <sheetData sheetId="3"/>
      <sheetData sheetId="4"/>
      <sheetData sheetId="5"/>
      <sheetData sheetId="6"/>
      <sheetData sheetId="7"/>
      <sheetData sheetId="8"/>
      <sheetData sheetId="9"/>
      <sheetData sheetId="10">
        <row r="75">
          <cell r="J75">
            <v>11933</v>
          </cell>
        </row>
      </sheetData>
      <sheetData sheetId="11"/>
      <sheetData sheetId="12"/>
      <sheetData sheetId="13"/>
      <sheetData sheetId="14"/>
      <sheetData sheetId="15"/>
      <sheetData sheetId="16"/>
      <sheetData sheetId="17"/>
      <sheetData sheetId="18"/>
      <sheetData sheetId="19">
        <row r="11">
          <cell r="C11">
            <v>25000000</v>
          </cell>
        </row>
      </sheetData>
      <sheetData sheetId="20"/>
      <sheetData sheetId="21">
        <row r="4">
          <cell r="I4">
            <v>0</v>
          </cell>
        </row>
        <row r="16">
          <cell r="M16">
            <v>1653</v>
          </cell>
        </row>
        <row r="19">
          <cell r="I19">
            <v>266</v>
          </cell>
        </row>
        <row r="21">
          <cell r="I21">
            <v>14</v>
          </cell>
        </row>
        <row r="23">
          <cell r="I23">
            <v>250</v>
          </cell>
        </row>
        <row r="24">
          <cell r="I24">
            <v>-1</v>
          </cell>
        </row>
      </sheetData>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
      <sheetName val="IS"/>
      <sheetName val="SOCI"/>
      <sheetName val="UHF"/>
      <sheetName val="CF"/>
      <sheetName val="Notes (1st page)"/>
      <sheetName val="Notes (remaining)"/>
      <sheetName val="UHF Working"/>
      <sheetName val="TB"/>
      <sheetName val="PAYOUT"/>
      <sheetName val="Sheet2"/>
      <sheetName val="5.2"/>
      <sheetName val="I-R"/>
      <sheetName val="Work"/>
      <sheetName val="Sheet3"/>
      <sheetName val="5.1"/>
      <sheetName val="Sheet1"/>
      <sheetName val="RP"/>
    </sheetNames>
    <sheetDataSet>
      <sheetData sheetId="0">
        <row r="11">
          <cell r="F11">
            <v>8143725</v>
          </cell>
        </row>
        <row r="36">
          <cell r="F36">
            <v>50.467799999999997</v>
          </cell>
          <cell r="H36">
            <v>50.467799999999997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
      <sheetName val="IS"/>
      <sheetName val="SOCI"/>
      <sheetName val="UHF"/>
      <sheetName val="CF"/>
      <sheetName val="Notes (1st page)"/>
      <sheetName val="Notes (remaining)"/>
      <sheetName val="Working"/>
      <sheetName val="7"/>
      <sheetName val="5.1"/>
      <sheetName val="5.6"/>
      <sheetName val="5.2"/>
      <sheetName val="5.3 &amp; 5.4"/>
      <sheetName val="5.4.2"/>
      <sheetName val="5.4.3"/>
      <sheetName val="5.5"/>
      <sheetName val="RP"/>
      <sheetName val="Trail Balance"/>
      <sheetName val="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B4" t="str">
            <v>OS1530 5</v>
          </cell>
          <cell r="C4" t="str">
            <v>OB1511 8</v>
          </cell>
          <cell r="D4" t="str">
            <v>T-BILLS</v>
          </cell>
          <cell r="E4" t="str">
            <v>HFT</v>
          </cell>
          <cell r="F4" t="str">
            <v>Faysal Bank Limited</v>
          </cell>
          <cell r="G4" t="str">
            <v>PCF</v>
          </cell>
          <cell r="H4" t="str">
            <v>23/05/19</v>
          </cell>
        </row>
        <row r="5">
          <cell r="B5" t="str">
            <v>OB1531 3</v>
          </cell>
          <cell r="D5" t="str">
            <v>T-BILLS</v>
          </cell>
          <cell r="E5" t="str">
            <v>HFT</v>
          </cell>
          <cell r="F5" t="str">
            <v>JS BANK LIMITED</v>
          </cell>
          <cell r="G5" t="str">
            <v>PCF</v>
          </cell>
          <cell r="H5" t="str">
            <v>18/07/19</v>
          </cell>
        </row>
        <row r="6">
          <cell r="B6" t="str">
            <v>OB1534 3</v>
          </cell>
          <cell r="D6" t="str">
            <v>T-BILLS</v>
          </cell>
          <cell r="E6" t="str">
            <v>HFT</v>
          </cell>
          <cell r="F6" t="str">
            <v>JS BANK LIMITED</v>
          </cell>
          <cell r="G6" t="str">
            <v>PCF</v>
          </cell>
          <cell r="H6" t="str">
            <v>18/07/19</v>
          </cell>
        </row>
        <row r="7">
          <cell r="B7" t="str">
            <v>OS1536 5</v>
          </cell>
          <cell r="C7" t="str">
            <v>OB1531 3</v>
          </cell>
          <cell r="D7" t="str">
            <v>T-BILLS</v>
          </cell>
          <cell r="E7" t="str">
            <v>HFT</v>
          </cell>
          <cell r="F7" t="str">
            <v>JS BANK LIMITED</v>
          </cell>
          <cell r="G7" t="str">
            <v>PCF</v>
          </cell>
          <cell r="H7" t="str">
            <v>18/07/19</v>
          </cell>
        </row>
        <row r="8">
          <cell r="B8" t="str">
            <v>OS1602 3</v>
          </cell>
          <cell r="C8" t="str">
            <v>OB1534 3</v>
          </cell>
          <cell r="D8" t="str">
            <v>T-BILLS</v>
          </cell>
          <cell r="E8" t="str">
            <v>HFT</v>
          </cell>
          <cell r="F8" t="str">
            <v>Bank Alfalah Limited</v>
          </cell>
          <cell r="G8" t="str">
            <v>PCF</v>
          </cell>
          <cell r="H8" t="str">
            <v>18/07/19</v>
          </cell>
        </row>
        <row r="9">
          <cell r="B9" t="str">
            <v>OS1645 1</v>
          </cell>
          <cell r="C9" t="str">
            <v>OB1534 3</v>
          </cell>
          <cell r="D9" t="str">
            <v>T-BILLS</v>
          </cell>
          <cell r="E9" t="str">
            <v>HFT</v>
          </cell>
          <cell r="F9" t="str">
            <v>Faysal Bank Limited</v>
          </cell>
          <cell r="G9" t="str">
            <v>PCF</v>
          </cell>
          <cell r="H9" t="str">
            <v>18/07/19</v>
          </cell>
        </row>
        <row r="10">
          <cell r="B10" t="str">
            <v>OB1645 4</v>
          </cell>
          <cell r="D10" t="str">
            <v>T-BILLS</v>
          </cell>
          <cell r="E10" t="str">
            <v>HFT</v>
          </cell>
          <cell r="F10" t="str">
            <v>Faysal Bank Limited</v>
          </cell>
          <cell r="G10" t="str">
            <v>PCF</v>
          </cell>
          <cell r="H10" t="str">
            <v>18/07/19</v>
          </cell>
        </row>
        <row r="11">
          <cell r="B11" t="str">
            <v>OB1653 3</v>
          </cell>
          <cell r="D11" t="str">
            <v>T-BILLS</v>
          </cell>
          <cell r="E11" t="str">
            <v>HFT</v>
          </cell>
          <cell r="F11" t="str">
            <v>Bank Alfalah Limited</v>
          </cell>
          <cell r="G11" t="str">
            <v>PCF</v>
          </cell>
          <cell r="H11" t="str">
            <v>18/07/19</v>
          </cell>
        </row>
        <row r="12">
          <cell r="B12" t="str">
            <v>OB1658 3</v>
          </cell>
          <cell r="D12" t="str">
            <v>T-BILLS</v>
          </cell>
          <cell r="E12" t="str">
            <v>HFT</v>
          </cell>
          <cell r="F12" t="str">
            <v>Bank Alfalah Limited</v>
          </cell>
          <cell r="G12" t="str">
            <v>PCF</v>
          </cell>
          <cell r="H12" t="str">
            <v>10/10/19</v>
          </cell>
        </row>
        <row r="13">
          <cell r="B13" t="str">
            <v>OB1660 0</v>
          </cell>
          <cell r="D13" t="str">
            <v>T-BILLS</v>
          </cell>
          <cell r="E13" t="str">
            <v>HFT</v>
          </cell>
          <cell r="F13" t="str">
            <v>NATIONAL BANK OF PAKISTAN</v>
          </cell>
          <cell r="G13" t="str">
            <v>PCF</v>
          </cell>
          <cell r="H13" t="str">
            <v>16/08/19</v>
          </cell>
        </row>
        <row r="14">
          <cell r="B14" t="str">
            <v>OB1660 7</v>
          </cell>
          <cell r="D14" t="str">
            <v>T-BILLS</v>
          </cell>
          <cell r="E14" t="str">
            <v>HFT</v>
          </cell>
          <cell r="F14" t="str">
            <v>Faysal Bank Limited</v>
          </cell>
          <cell r="G14" t="str">
            <v>PCF</v>
          </cell>
          <cell r="H14" t="str">
            <v>10/10/19</v>
          </cell>
        </row>
        <row r="15">
          <cell r="B15" t="str">
            <v>OB1660 8</v>
          </cell>
          <cell r="D15" t="str">
            <v>T-BILLS</v>
          </cell>
          <cell r="E15" t="str">
            <v>HFT</v>
          </cell>
          <cell r="F15" t="str">
            <v>United Bank Limited</v>
          </cell>
          <cell r="G15" t="str">
            <v>PCF</v>
          </cell>
          <cell r="H15" t="str">
            <v>01/08/19</v>
          </cell>
        </row>
        <row r="16">
          <cell r="B16" t="str">
            <v>OB1669 0</v>
          </cell>
          <cell r="D16" t="str">
            <v>T-BILLS</v>
          </cell>
          <cell r="E16" t="str">
            <v>HFT</v>
          </cell>
          <cell r="F16" t="str">
            <v>NATIONAL BANK OF PAKISTAN</v>
          </cell>
          <cell r="G16" t="str">
            <v>PCF</v>
          </cell>
          <cell r="H16" t="str">
            <v>01/08/19</v>
          </cell>
        </row>
        <row r="17">
          <cell r="B17" t="str">
            <v>OB1672 3</v>
          </cell>
          <cell r="D17" t="str">
            <v>T-BILLS</v>
          </cell>
          <cell r="E17" t="str">
            <v>HFT</v>
          </cell>
          <cell r="F17" t="str">
            <v>NATIONAL BANK OF PAKISTAN</v>
          </cell>
          <cell r="G17" t="str">
            <v>PCF</v>
          </cell>
          <cell r="H17" t="str">
            <v>16/08/19</v>
          </cell>
        </row>
        <row r="18">
          <cell r="B18" t="str">
            <v>OB1679 8</v>
          </cell>
          <cell r="D18" t="str">
            <v>T-BILLS</v>
          </cell>
          <cell r="E18" t="str">
            <v>HFT</v>
          </cell>
          <cell r="F18" t="str">
            <v>Bank Alfalah Limited</v>
          </cell>
          <cell r="G18" t="str">
            <v>PCF</v>
          </cell>
          <cell r="H18" t="str">
            <v>24/10/19</v>
          </cell>
        </row>
        <row r="19">
          <cell r="B19" t="str">
            <v>OB1681 8</v>
          </cell>
          <cell r="D19" t="str">
            <v>T-BILLS</v>
          </cell>
          <cell r="E19" t="str">
            <v>HFT</v>
          </cell>
          <cell r="F19" t="str">
            <v>Bank Alfalah Limited</v>
          </cell>
          <cell r="G19" t="str">
            <v>PCF</v>
          </cell>
          <cell r="H19" t="str">
            <v>24/10/19</v>
          </cell>
        </row>
        <row r="20">
          <cell r="B20" t="str">
            <v>OB1703 8</v>
          </cell>
          <cell r="D20" t="str">
            <v>T-BILLS</v>
          </cell>
          <cell r="E20" t="str">
            <v>HFT</v>
          </cell>
          <cell r="F20" t="str">
            <v>Bank Alfalah Limited</v>
          </cell>
          <cell r="G20" t="str">
            <v>PCF</v>
          </cell>
          <cell r="H20" t="str">
            <v>07/11/19</v>
          </cell>
        </row>
        <row r="21">
          <cell r="B21" t="str">
            <v>OB1704 9</v>
          </cell>
          <cell r="D21" t="str">
            <v>T-BILLS</v>
          </cell>
          <cell r="E21" t="str">
            <v>HFT</v>
          </cell>
          <cell r="F21" t="str">
            <v>Bank Alfalah Limited</v>
          </cell>
          <cell r="G21" t="str">
            <v>PCF</v>
          </cell>
          <cell r="H21" t="str">
            <v>07/11/19</v>
          </cell>
        </row>
        <row r="22">
          <cell r="B22" t="str">
            <v>OB1705 5</v>
          </cell>
          <cell r="D22" t="str">
            <v>T-BILLS</v>
          </cell>
          <cell r="E22" t="str">
            <v>HFT</v>
          </cell>
          <cell r="F22" t="str">
            <v>Bank Alfalah Limited</v>
          </cell>
          <cell r="G22" t="str">
            <v>PCF</v>
          </cell>
          <cell r="H22" t="str">
            <v>07/11/19</v>
          </cell>
        </row>
        <row r="23">
          <cell r="B23" t="str">
            <v>OB1706 8</v>
          </cell>
          <cell r="D23" t="str">
            <v>T-BILLS</v>
          </cell>
          <cell r="E23" t="str">
            <v>HFT</v>
          </cell>
          <cell r="F23" t="str">
            <v>MCBFSL TRUSTEE JS CASH FUND</v>
          </cell>
          <cell r="G23" t="str">
            <v>PCF</v>
          </cell>
          <cell r="H23" t="str">
            <v>29/08/19</v>
          </cell>
        </row>
        <row r="24">
          <cell r="B24" t="str">
            <v>OB1713 7</v>
          </cell>
          <cell r="D24" t="str">
            <v>T-BILLS</v>
          </cell>
          <cell r="E24" t="str">
            <v>HFT</v>
          </cell>
          <cell r="F24" t="str">
            <v>Bank Alfalah Limited</v>
          </cell>
          <cell r="G24" t="str">
            <v>PCF</v>
          </cell>
          <cell r="H24" t="str">
            <v>07/11/19</v>
          </cell>
        </row>
        <row r="25">
          <cell r="B25" t="str">
            <v>OB1718 6</v>
          </cell>
          <cell r="D25" t="str">
            <v>T-BILLS</v>
          </cell>
          <cell r="E25" t="str">
            <v>HFT</v>
          </cell>
          <cell r="F25" t="str">
            <v>Allied Bank Limited</v>
          </cell>
          <cell r="G25" t="str">
            <v>PCF</v>
          </cell>
          <cell r="H25" t="str">
            <v>07/11/19</v>
          </cell>
        </row>
        <row r="26">
          <cell r="B26" t="str">
            <v>OS1733 9</v>
          </cell>
          <cell r="C26" t="str">
            <v>OB1704 9</v>
          </cell>
          <cell r="D26" t="str">
            <v>T-BILLS</v>
          </cell>
          <cell r="E26" t="str">
            <v>HFT</v>
          </cell>
          <cell r="F26" t="str">
            <v>PAK OMAN INVESTMENT COMPANY LIMITED</v>
          </cell>
          <cell r="G26" t="str">
            <v>PCF</v>
          </cell>
          <cell r="H26" t="str">
            <v>07/11/19</v>
          </cell>
        </row>
        <row r="27">
          <cell r="B27" t="str">
            <v>OB1735 2</v>
          </cell>
          <cell r="D27" t="str">
            <v>T-BILLS</v>
          </cell>
          <cell r="E27" t="str">
            <v>HFT</v>
          </cell>
          <cell r="F27" t="str">
            <v>PAK OMAN INVESTMENT COMPANY LIMITED</v>
          </cell>
          <cell r="G27" t="str">
            <v>PCF</v>
          </cell>
          <cell r="H27" t="str">
            <v>10/10/19</v>
          </cell>
        </row>
        <row r="28">
          <cell r="B28" t="str">
            <v>OB1741 0</v>
          </cell>
          <cell r="D28" t="str">
            <v>T-BILLS</v>
          </cell>
          <cell r="E28" t="str">
            <v>HFT</v>
          </cell>
          <cell r="F28" t="str">
            <v>Faysal Bank Limited</v>
          </cell>
          <cell r="G28" t="str">
            <v>PCF</v>
          </cell>
          <cell r="H28" t="str">
            <v>24/10/19</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47"/>
  <sheetViews>
    <sheetView view="pageBreakPreview" topLeftCell="A28" zoomScaleNormal="100" zoomScaleSheetLayoutView="100" workbookViewId="0">
      <selection activeCell="F30" sqref="F30"/>
    </sheetView>
  </sheetViews>
  <sheetFormatPr defaultColWidth="3.5" defaultRowHeight="12" x14ac:dyDescent="0.25"/>
  <cols>
    <col min="1" max="1" width="5.125" style="1" customWidth="1"/>
    <col min="2" max="2" width="3.625" style="1" customWidth="1"/>
    <col min="3" max="3" width="41.625" style="1" customWidth="1"/>
    <col min="4" max="4" width="6.875" style="1" customWidth="1"/>
    <col min="5" max="5" width="5.625" style="1" customWidth="1"/>
    <col min="6" max="6" width="10.375" style="1" customWidth="1"/>
    <col min="7" max="7" width="1.625" style="1" customWidth="1"/>
    <col min="8" max="8" width="10.375" style="1" customWidth="1"/>
    <col min="9" max="9" width="11" style="5" bestFit="1" customWidth="1"/>
    <col min="10" max="10" width="10.5" style="1" bestFit="1" customWidth="1"/>
    <col min="11" max="12" width="3.5" style="1"/>
    <col min="13" max="13" width="10.5" style="5" bestFit="1" customWidth="1"/>
    <col min="14" max="14" width="3.5" style="446"/>
    <col min="15" max="18" width="3.5" style="1"/>
    <col min="19" max="19" width="13" style="1" bestFit="1" customWidth="1"/>
    <col min="20" max="16384" width="3.5" style="1"/>
  </cols>
  <sheetData>
    <row r="1" spans="1:19" x14ac:dyDescent="0.25">
      <c r="A1" s="45" t="s">
        <v>23</v>
      </c>
      <c r="B1" s="45"/>
      <c r="C1" s="45"/>
      <c r="D1" s="45"/>
      <c r="E1" s="45"/>
      <c r="F1" s="45"/>
      <c r="G1" s="45"/>
      <c r="H1" s="45"/>
    </row>
    <row r="2" spans="1:19" x14ac:dyDescent="0.25">
      <c r="A2" s="44" t="s">
        <v>22</v>
      </c>
      <c r="B2" s="44"/>
      <c r="C2" s="44"/>
      <c r="D2" s="44"/>
      <c r="E2" s="44"/>
      <c r="F2" s="44"/>
      <c r="G2" s="44"/>
      <c r="H2" s="44"/>
    </row>
    <row r="3" spans="1:19" x14ac:dyDescent="0.25">
      <c r="A3" s="43" t="s">
        <v>529</v>
      </c>
      <c r="B3" s="43"/>
      <c r="C3" s="43"/>
      <c r="D3" s="43"/>
      <c r="E3" s="43"/>
      <c r="G3" s="43"/>
    </row>
    <row r="5" spans="1:19" x14ac:dyDescent="0.2">
      <c r="F5" s="42" t="s">
        <v>491</v>
      </c>
      <c r="G5" s="6"/>
      <c r="H5" s="42" t="s">
        <v>21</v>
      </c>
    </row>
    <row r="6" spans="1:19" x14ac:dyDescent="0.2">
      <c r="F6" s="40">
        <v>2022</v>
      </c>
      <c r="G6" s="41"/>
      <c r="H6" s="40">
        <v>2021</v>
      </c>
      <c r="M6" s="266" t="s">
        <v>304</v>
      </c>
    </row>
    <row r="7" spans="1:19" x14ac:dyDescent="0.2">
      <c r="E7" s="39"/>
      <c r="F7" s="6" t="s">
        <v>20</v>
      </c>
      <c r="G7" s="38"/>
      <c r="H7" s="6" t="s">
        <v>19</v>
      </c>
    </row>
    <row r="8" spans="1:19" x14ac:dyDescent="0.2">
      <c r="E8" s="37" t="s">
        <v>18</v>
      </c>
      <c r="F8" s="722" t="s">
        <v>17</v>
      </c>
      <c r="G8" s="722"/>
      <c r="H8" s="722"/>
    </row>
    <row r="9" spans="1:19" x14ac:dyDescent="0.25">
      <c r="A9" s="20" t="s">
        <v>16</v>
      </c>
      <c r="B9" s="20"/>
    </row>
    <row r="10" spans="1:19" x14ac:dyDescent="0.25">
      <c r="A10" s="1" t="s">
        <v>15</v>
      </c>
      <c r="E10" s="19">
        <f>'Notes (remaining)'!A33</f>
        <v>4</v>
      </c>
      <c r="F10" s="543">
        <f>'Notes (remaining)'!I37</f>
        <v>15242663</v>
      </c>
      <c r="G10" s="3"/>
      <c r="H10" s="3">
        <v>3141821</v>
      </c>
      <c r="I10" s="5">
        <f>H10-F10</f>
        <v>-12100842</v>
      </c>
      <c r="S10" s="537">
        <v>2681491922.23</v>
      </c>
    </row>
    <row r="11" spans="1:19" x14ac:dyDescent="0.25">
      <c r="A11" s="1" t="s">
        <v>14</v>
      </c>
      <c r="E11" s="19">
        <f>'Notes (remaining)'!A47</f>
        <v>5</v>
      </c>
      <c r="F11" s="543">
        <f>'Notes (remaining)'!$I$52</f>
        <v>0</v>
      </c>
      <c r="G11" s="3"/>
      <c r="H11" s="545">
        <v>0</v>
      </c>
      <c r="I11" s="5">
        <f>H11-F11</f>
        <v>0</v>
      </c>
      <c r="S11" s="537">
        <v>6689674.54</v>
      </c>
    </row>
    <row r="12" spans="1:19" s="289" customFormat="1" x14ac:dyDescent="0.25">
      <c r="A12" s="289" t="s">
        <v>427</v>
      </c>
      <c r="E12" s="19"/>
      <c r="F12" s="543">
        <f>SUM(TB!M27:M40)</f>
        <v>112583.3</v>
      </c>
      <c r="G12" s="3"/>
      <c r="H12" s="545">
        <v>11320</v>
      </c>
      <c r="I12" s="5">
        <f>H12-F12</f>
        <v>-101263.3</v>
      </c>
      <c r="M12" s="5"/>
      <c r="N12" s="446"/>
      <c r="S12" s="537">
        <v>378464.85</v>
      </c>
    </row>
    <row r="13" spans="1:19" x14ac:dyDescent="0.25">
      <c r="A13" s="20" t="s">
        <v>13</v>
      </c>
      <c r="B13" s="20"/>
      <c r="F13" s="541">
        <f>SUM(F10:F12)+1</f>
        <v>15355247.300000001</v>
      </c>
      <c r="G13" s="3"/>
      <c r="H13" s="36">
        <f>SUM(H10:H12)</f>
        <v>3153141</v>
      </c>
      <c r="M13" s="5">
        <f>TB!$M$42</f>
        <v>15355248.300000001</v>
      </c>
      <c r="N13" s="446">
        <f>F13-M13</f>
        <v>-1</v>
      </c>
    </row>
    <row r="14" spans="1:19" x14ac:dyDescent="0.25">
      <c r="F14" s="3"/>
      <c r="G14" s="3"/>
      <c r="H14" s="3"/>
    </row>
    <row r="15" spans="1:19" x14ac:dyDescent="0.2">
      <c r="A15" s="26" t="s">
        <v>12</v>
      </c>
      <c r="B15" s="20"/>
      <c r="F15" s="3"/>
      <c r="G15" s="3"/>
      <c r="H15" s="3"/>
    </row>
    <row r="16" spans="1:19" x14ac:dyDescent="0.25">
      <c r="A16" s="1" t="s">
        <v>698</v>
      </c>
      <c r="B16" s="20"/>
      <c r="E16" s="24">
        <f>'Notes (remaining)'!A283</f>
        <v>6</v>
      </c>
      <c r="F16" s="35">
        <f>'Notes (remaining)'!I290</f>
        <v>561</v>
      </c>
      <c r="G16" s="556"/>
      <c r="H16" s="35">
        <v>305</v>
      </c>
      <c r="I16" s="5">
        <f>+F16-H16</f>
        <v>256</v>
      </c>
    </row>
    <row r="17" spans="1:19" x14ac:dyDescent="0.2">
      <c r="A17" s="33" t="s">
        <v>697</v>
      </c>
      <c r="C17" s="30"/>
      <c r="F17" s="32">
        <f>TB!L65+TB!L64</f>
        <v>354</v>
      </c>
      <c r="G17" s="3"/>
      <c r="H17" s="32">
        <v>82</v>
      </c>
      <c r="I17" s="5">
        <f>F17-H17</f>
        <v>272</v>
      </c>
      <c r="J17" s="3"/>
      <c r="K17" s="1">
        <f>75+10</f>
        <v>85</v>
      </c>
      <c r="S17" s="537">
        <v>185204.83</v>
      </c>
    </row>
    <row r="18" spans="1:19" x14ac:dyDescent="0.2">
      <c r="A18" s="555" t="s">
        <v>506</v>
      </c>
      <c r="C18" s="30"/>
      <c r="E18" s="486"/>
      <c r="F18" s="544">
        <f>TB!L66</f>
        <v>1044</v>
      </c>
      <c r="G18" s="555"/>
      <c r="H18" s="32">
        <v>478</v>
      </c>
      <c r="I18" s="5">
        <f t="shared" ref="I18" si="0">F18-H18</f>
        <v>566</v>
      </c>
      <c r="J18" s="3"/>
      <c r="S18" s="537">
        <v>11932883.539999999</v>
      </c>
    </row>
    <row r="19" spans="1:19" x14ac:dyDescent="0.25">
      <c r="A19" s="29" t="s">
        <v>479</v>
      </c>
      <c r="B19" s="29"/>
      <c r="E19" s="19">
        <f>'Notes (remaining)'!A296</f>
        <v>7</v>
      </c>
      <c r="F19" s="28">
        <f>'Notes (remaining)'!I306</f>
        <v>24683.78</v>
      </c>
      <c r="G19" s="3"/>
      <c r="H19" s="28">
        <v>33660</v>
      </c>
      <c r="I19" s="5">
        <f>F19-H19</f>
        <v>-8976.2200000000012</v>
      </c>
      <c r="J19" s="3"/>
      <c r="S19" s="537"/>
    </row>
    <row r="20" spans="1:19" x14ac:dyDescent="0.25">
      <c r="A20" s="20" t="s">
        <v>10</v>
      </c>
      <c r="B20" s="20"/>
      <c r="F20" s="27">
        <f>SUM(F16:F19)-1</f>
        <v>26641.78</v>
      </c>
      <c r="G20" s="3"/>
      <c r="H20" s="27">
        <f>SUM(H16:H19)</f>
        <v>34525</v>
      </c>
      <c r="I20" s="5">
        <f>H20-F20</f>
        <v>7883.2200000000012</v>
      </c>
      <c r="M20" s="5">
        <f>TB!$M$78</f>
        <v>3145257.78</v>
      </c>
      <c r="N20" s="446">
        <f>F20-M20</f>
        <v>-3118616</v>
      </c>
      <c r="S20" s="537"/>
    </row>
    <row r="21" spans="1:19" x14ac:dyDescent="0.25">
      <c r="F21" s="3"/>
      <c r="G21" s="3"/>
      <c r="H21" s="3"/>
      <c r="S21" s="515">
        <v>-59.56</v>
      </c>
    </row>
    <row r="22" spans="1:19" ht="12.75" thickBot="1" x14ac:dyDescent="0.25">
      <c r="A22" s="26" t="s">
        <v>9</v>
      </c>
      <c r="B22" s="20"/>
      <c r="F22" s="25">
        <f>F13-F20</f>
        <v>15328605.520000001</v>
      </c>
      <c r="G22" s="3"/>
      <c r="H22" s="25">
        <f>H13-H20</f>
        <v>3118616</v>
      </c>
      <c r="S22" s="537">
        <v>17611.2</v>
      </c>
    </row>
    <row r="23" spans="1:19" ht="12.75" thickTop="1" x14ac:dyDescent="0.25">
      <c r="F23" s="3"/>
      <c r="G23" s="3"/>
      <c r="H23" s="3"/>
      <c r="J23" s="304"/>
      <c r="S23" s="537">
        <v>10737123.07</v>
      </c>
    </row>
    <row r="24" spans="1:19" ht="12.75" thickBot="1" x14ac:dyDescent="0.25">
      <c r="A24" s="602" t="s">
        <v>8</v>
      </c>
      <c r="B24" s="528"/>
      <c r="C24" s="555"/>
      <c r="D24" s="555"/>
      <c r="E24" s="555"/>
      <c r="F24" s="22">
        <f>UHF!G53</f>
        <v>15328606.305330001</v>
      </c>
      <c r="G24" s="3"/>
      <c r="H24" s="22">
        <f>H22</f>
        <v>3118616</v>
      </c>
      <c r="I24" s="5">
        <f>F22-F24</f>
        <v>-0.78532999940216541</v>
      </c>
      <c r="J24" s="5">
        <f>G22-G24</f>
        <v>0</v>
      </c>
      <c r="K24" s="424"/>
      <c r="M24" s="5">
        <v>4399435.5389999999</v>
      </c>
      <c r="N24" s="446">
        <f>F24-M24</f>
        <v>10929170.76633</v>
      </c>
      <c r="S24" s="537">
        <v>628732.73</v>
      </c>
    </row>
    <row r="25" spans="1:19" ht="12.75" thickTop="1" x14ac:dyDescent="0.25">
      <c r="F25" s="3"/>
      <c r="G25" s="3"/>
      <c r="H25" s="3"/>
      <c r="S25" s="537">
        <v>65107</v>
      </c>
    </row>
    <row r="26" spans="1:19" x14ac:dyDescent="0.25">
      <c r="A26" s="20" t="s">
        <v>7</v>
      </c>
      <c r="B26" s="20"/>
      <c r="E26" s="24">
        <f>'Notes (remaining)'!A340</f>
        <v>7.9999999999999991</v>
      </c>
      <c r="F26" s="3"/>
      <c r="G26" s="3"/>
      <c r="H26" s="3"/>
      <c r="S26" s="537">
        <v>37278.18</v>
      </c>
    </row>
    <row r="27" spans="1:19" x14ac:dyDescent="0.25">
      <c r="F27" s="3"/>
      <c r="G27" s="3"/>
      <c r="H27" s="3"/>
      <c r="S27" s="537">
        <v>40670.910000000003</v>
      </c>
    </row>
    <row r="28" spans="1:19" x14ac:dyDescent="0.2">
      <c r="F28" s="722" t="s">
        <v>6</v>
      </c>
      <c r="G28" s="724"/>
      <c r="H28" s="724"/>
      <c r="S28" s="515">
        <v>-21</v>
      </c>
    </row>
    <row r="29" spans="1:19" x14ac:dyDescent="0.25">
      <c r="F29" s="3"/>
      <c r="G29" s="3"/>
      <c r="H29" s="3"/>
      <c r="S29" s="537"/>
    </row>
    <row r="30" spans="1:19" ht="12.75" thickBot="1" x14ac:dyDescent="0.25">
      <c r="A30" s="10" t="s">
        <v>5</v>
      </c>
      <c r="B30" s="20"/>
      <c r="F30" s="23">
        <v>303730416.79879999</v>
      </c>
      <c r="G30" s="3"/>
      <c r="H30" s="22">
        <v>61794223</v>
      </c>
      <c r="M30" s="5">
        <v>82373041.589000002</v>
      </c>
      <c r="N30" s="446">
        <f>F30-M30</f>
        <v>221357375.2098</v>
      </c>
    </row>
    <row r="31" spans="1:19" ht="12.75" thickTop="1" x14ac:dyDescent="0.25">
      <c r="F31" s="3"/>
      <c r="G31" s="3"/>
      <c r="H31" s="3"/>
    </row>
    <row r="32" spans="1:19" x14ac:dyDescent="0.2">
      <c r="F32" s="722" t="s">
        <v>4</v>
      </c>
      <c r="G32" s="723"/>
      <c r="H32" s="723"/>
    </row>
    <row r="33" spans="1:8" x14ac:dyDescent="0.25">
      <c r="D33" s="21"/>
      <c r="F33" s="3"/>
      <c r="G33" s="3"/>
      <c r="H33" s="3"/>
    </row>
    <row r="34" spans="1:8" ht="12.75" thickBot="1" x14ac:dyDescent="0.25">
      <c r="A34" s="10" t="s">
        <v>395</v>
      </c>
      <c r="B34" s="20"/>
      <c r="E34" s="19"/>
      <c r="F34" s="18">
        <f>ROUND(F22/(F30/1000),4)</f>
        <v>50.467799999999997</v>
      </c>
      <c r="G34" s="3"/>
      <c r="H34" s="18">
        <f>ROUND(H24/(H30/1000),4)</f>
        <v>50.467799999999997</v>
      </c>
    </row>
    <row r="35" spans="1:8" ht="12.75" thickTop="1" x14ac:dyDescent="0.25">
      <c r="F35" s="2"/>
      <c r="G35" s="3"/>
      <c r="H35" s="3"/>
    </row>
    <row r="36" spans="1:8" x14ac:dyDescent="0.25">
      <c r="F36" s="3"/>
      <c r="G36" s="3"/>
      <c r="H36" s="3"/>
    </row>
    <row r="37" spans="1:8" x14ac:dyDescent="0.25">
      <c r="A37" s="555" t="s">
        <v>527</v>
      </c>
      <c r="B37" s="555"/>
      <c r="C37" s="555"/>
      <c r="D37" s="555"/>
      <c r="E37" s="555"/>
      <c r="F37" s="3"/>
      <c r="G37" s="3"/>
      <c r="H37" s="461"/>
    </row>
    <row r="38" spans="1:8" x14ac:dyDescent="0.25">
      <c r="F38" s="3"/>
      <c r="G38" s="3"/>
      <c r="H38" s="3"/>
    </row>
    <row r="39" spans="1:8" x14ac:dyDescent="0.25">
      <c r="F39" s="3"/>
      <c r="G39" s="3"/>
      <c r="H39" s="3"/>
    </row>
    <row r="40" spans="1:8" x14ac:dyDescent="0.2">
      <c r="A40" s="12" t="s">
        <v>3</v>
      </c>
      <c r="B40" s="17"/>
      <c r="C40" s="17"/>
      <c r="D40" s="17"/>
      <c r="E40" s="17"/>
      <c r="F40" s="17"/>
      <c r="G40" s="17"/>
      <c r="H40" s="17"/>
    </row>
    <row r="41" spans="1:8" x14ac:dyDescent="0.2">
      <c r="A41" s="10" t="s">
        <v>2</v>
      </c>
      <c r="B41" s="17"/>
      <c r="C41" s="17"/>
      <c r="D41" s="17"/>
      <c r="E41" s="17"/>
      <c r="F41" s="17"/>
      <c r="G41" s="17"/>
      <c r="H41" s="17"/>
    </row>
    <row r="42" spans="1:8" x14ac:dyDescent="0.2">
      <c r="A42" s="15"/>
      <c r="B42" s="15"/>
      <c r="C42" s="9"/>
      <c r="D42" s="14"/>
      <c r="E42" s="9"/>
      <c r="F42" s="9"/>
      <c r="G42" s="13"/>
      <c r="H42" s="13"/>
    </row>
    <row r="43" spans="1:8" x14ac:dyDescent="0.2">
      <c r="A43" s="15"/>
      <c r="B43" s="15"/>
      <c r="C43" s="9"/>
      <c r="D43" s="14"/>
      <c r="E43" s="9"/>
      <c r="F43" s="9"/>
      <c r="G43" s="13"/>
      <c r="H43" s="13"/>
    </row>
    <row r="44" spans="1:8" x14ac:dyDescent="0.2">
      <c r="A44" s="15"/>
      <c r="B44" s="15"/>
      <c r="C44" s="9"/>
      <c r="D44" s="14"/>
      <c r="E44" s="9"/>
      <c r="F44" s="9"/>
      <c r="G44" s="13"/>
      <c r="H44" s="13"/>
    </row>
    <row r="45" spans="1:8" x14ac:dyDescent="0.2">
      <c r="A45" s="15"/>
      <c r="B45" s="15"/>
      <c r="C45" s="9"/>
      <c r="D45" s="14"/>
      <c r="E45" s="9"/>
      <c r="F45" s="9"/>
      <c r="G45" s="13"/>
      <c r="H45" s="13"/>
    </row>
    <row r="46" spans="1:8" x14ac:dyDescent="0.2">
      <c r="A46" s="12" t="s">
        <v>1</v>
      </c>
      <c r="E46" s="9"/>
      <c r="F46" s="9"/>
      <c r="G46" s="11"/>
    </row>
    <row r="47" spans="1:8" x14ac:dyDescent="0.2">
      <c r="A47" s="10" t="s">
        <v>0</v>
      </c>
      <c r="E47" s="9"/>
      <c r="F47" s="9"/>
      <c r="G47" s="8"/>
    </row>
  </sheetData>
  <mergeCells count="3">
    <mergeCell ref="F32:H32"/>
    <mergeCell ref="F28:H28"/>
    <mergeCell ref="F8:H8"/>
  </mergeCells>
  <printOptions horizontalCentered="1"/>
  <pageMargins left="0.75" right="0.5" top="0.5" bottom="0.4" header="0.25" footer="0"/>
  <pageSetup paperSize="9" scale="98" orientation="portrait" useFirstPageNumber="1" r:id="rId1"/>
  <cellWatches>
    <cellWatch r="N13"/>
    <cellWatch r="N20"/>
    <cellWatch r="N24"/>
    <cellWatch r="N30"/>
  </cellWatch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336"/>
  <sheetViews>
    <sheetView workbookViewId="0">
      <selection activeCell="I29" sqref="I29"/>
    </sheetView>
  </sheetViews>
  <sheetFormatPr defaultColWidth="9" defaultRowHeight="15" x14ac:dyDescent="0.25"/>
  <cols>
    <col min="1" max="2" width="9" style="714"/>
    <col min="3" max="3" width="8.625" style="714" bestFit="1" customWidth="1"/>
    <col min="4" max="4" width="25.375" style="714" bestFit="1" customWidth="1"/>
    <col min="5" max="5" width="9" style="714"/>
    <col min="6" max="6" width="9.625" style="714" bestFit="1" customWidth="1"/>
    <col min="7" max="16384" width="9" style="714"/>
  </cols>
  <sheetData>
    <row r="1" spans="1:7" x14ac:dyDescent="0.25">
      <c r="A1" s="714" t="s">
        <v>718</v>
      </c>
    </row>
    <row r="2" spans="1:7" x14ac:dyDescent="0.25">
      <c r="A2" s="714" t="s">
        <v>719</v>
      </c>
      <c r="B2" s="714" t="s">
        <v>720</v>
      </c>
      <c r="C2" s="714" t="s">
        <v>721</v>
      </c>
      <c r="D2" s="714" t="s">
        <v>722</v>
      </c>
      <c r="E2" s="714" t="s">
        <v>723</v>
      </c>
      <c r="F2" s="714" t="s">
        <v>724</v>
      </c>
      <c r="G2" s="714" t="s">
        <v>725</v>
      </c>
    </row>
    <row r="3" spans="1:7" x14ac:dyDescent="0.25">
      <c r="A3" s="714" t="s">
        <v>726</v>
      </c>
      <c r="B3" s="714">
        <v>0</v>
      </c>
      <c r="C3" s="715">
        <v>44378</v>
      </c>
      <c r="D3" s="714" t="s">
        <v>727</v>
      </c>
      <c r="E3" s="714">
        <v>72.239999999999995</v>
      </c>
      <c r="F3" s="714">
        <v>0</v>
      </c>
      <c r="G3" s="714">
        <v>72.239999999999995</v>
      </c>
    </row>
    <row r="4" spans="1:7" x14ac:dyDescent="0.25">
      <c r="A4" s="714" t="s">
        <v>726</v>
      </c>
      <c r="B4" s="714">
        <v>2109147728</v>
      </c>
      <c r="C4" s="715">
        <v>44453</v>
      </c>
      <c r="D4" s="714" t="s">
        <v>728</v>
      </c>
      <c r="F4" s="714">
        <v>91918307</v>
      </c>
      <c r="G4" s="714">
        <v>-91918234.760000005</v>
      </c>
    </row>
    <row r="5" spans="1:7" hidden="1" x14ac:dyDescent="0.25">
      <c r="A5" s="714" t="s">
        <v>726</v>
      </c>
      <c r="B5" s="714">
        <v>2109158444</v>
      </c>
      <c r="C5" s="715">
        <v>44454</v>
      </c>
      <c r="D5" s="714" t="s">
        <v>729</v>
      </c>
      <c r="E5" s="714">
        <v>54548773</v>
      </c>
      <c r="G5" s="714">
        <v>65.31</v>
      </c>
    </row>
    <row r="6" spans="1:7" hidden="1" x14ac:dyDescent="0.25">
      <c r="A6" s="714" t="s">
        <v>726</v>
      </c>
      <c r="B6" s="714">
        <v>2109158413</v>
      </c>
      <c r="C6" s="715">
        <v>44454</v>
      </c>
      <c r="D6" s="714" t="s">
        <v>730</v>
      </c>
      <c r="E6" s="714">
        <v>37369527.07</v>
      </c>
      <c r="G6" s="714">
        <v>-54548707.689999998</v>
      </c>
    </row>
    <row r="7" spans="1:7" x14ac:dyDescent="0.25">
      <c r="A7" s="714" t="s">
        <v>726</v>
      </c>
      <c r="B7" s="714">
        <v>2110121767</v>
      </c>
      <c r="C7" s="715">
        <v>44481</v>
      </c>
      <c r="D7" s="714" t="s">
        <v>731</v>
      </c>
      <c r="F7" s="714">
        <v>60712453</v>
      </c>
      <c r="G7" s="714">
        <v>-60712387.689999998</v>
      </c>
    </row>
    <row r="8" spans="1:7" hidden="1" x14ac:dyDescent="0.25">
      <c r="A8" s="714" t="s">
        <v>726</v>
      </c>
      <c r="B8" s="714">
        <v>2110131984</v>
      </c>
      <c r="C8" s="715">
        <v>44482</v>
      </c>
      <c r="D8" s="714" t="s">
        <v>729</v>
      </c>
      <c r="E8" s="714">
        <v>13713695.27</v>
      </c>
      <c r="G8" s="714">
        <v>-46998692.420000002</v>
      </c>
    </row>
    <row r="9" spans="1:7" hidden="1" x14ac:dyDescent="0.25">
      <c r="A9" s="714" t="s">
        <v>726</v>
      </c>
      <c r="B9" s="714">
        <v>2110132280</v>
      </c>
      <c r="C9" s="715">
        <v>44482</v>
      </c>
      <c r="D9" s="714" t="s">
        <v>730</v>
      </c>
      <c r="E9" s="714">
        <v>46998755.079999998</v>
      </c>
      <c r="G9" s="714">
        <v>62.66</v>
      </c>
    </row>
    <row r="10" spans="1:7" x14ac:dyDescent="0.25">
      <c r="A10" s="714" t="s">
        <v>726</v>
      </c>
      <c r="B10" s="714">
        <v>2110132609</v>
      </c>
      <c r="C10" s="715">
        <v>44482</v>
      </c>
      <c r="D10" s="714" t="s">
        <v>732</v>
      </c>
      <c r="E10" s="714">
        <v>0</v>
      </c>
      <c r="F10" s="714">
        <v>1775650.64</v>
      </c>
      <c r="G10" s="714">
        <v>-1775587.98</v>
      </c>
    </row>
    <row r="11" spans="1:7" hidden="1" x14ac:dyDescent="0.25">
      <c r="A11" s="714" t="s">
        <v>726</v>
      </c>
      <c r="B11" s="714">
        <v>2110143017</v>
      </c>
      <c r="C11" s="715">
        <v>44483</v>
      </c>
      <c r="D11" s="714" t="s">
        <v>730</v>
      </c>
      <c r="E11" s="714">
        <v>1526543.66</v>
      </c>
      <c r="G11" s="714">
        <v>-249044.32</v>
      </c>
    </row>
    <row r="12" spans="1:7" x14ac:dyDescent="0.25">
      <c r="A12" s="714" t="s">
        <v>726</v>
      </c>
      <c r="B12" s="714">
        <v>2110143555</v>
      </c>
      <c r="C12" s="715">
        <v>44483</v>
      </c>
      <c r="D12" s="714" t="s">
        <v>733</v>
      </c>
      <c r="E12" s="714">
        <v>0</v>
      </c>
      <c r="F12" s="714">
        <v>1851790.79</v>
      </c>
      <c r="G12" s="714">
        <v>-2100835.11</v>
      </c>
    </row>
    <row r="13" spans="1:7" hidden="1" x14ac:dyDescent="0.25">
      <c r="A13" s="714" t="s">
        <v>726</v>
      </c>
      <c r="B13" s="714">
        <v>2110153903</v>
      </c>
      <c r="C13" s="715">
        <v>44484</v>
      </c>
      <c r="D13" s="714" t="s">
        <v>734</v>
      </c>
      <c r="E13" s="714">
        <v>508861</v>
      </c>
      <c r="G13" s="714">
        <v>-1591974.11</v>
      </c>
    </row>
    <row r="14" spans="1:7" hidden="1" x14ac:dyDescent="0.25">
      <c r="A14" s="714" t="s">
        <v>726</v>
      </c>
      <c r="B14" s="714">
        <v>2110153918</v>
      </c>
      <c r="C14" s="715">
        <v>44484</v>
      </c>
      <c r="D14" s="714" t="s">
        <v>730</v>
      </c>
      <c r="E14" s="714">
        <v>1592036.75</v>
      </c>
      <c r="G14" s="714">
        <v>62.64</v>
      </c>
    </row>
    <row r="15" spans="1:7" x14ac:dyDescent="0.25">
      <c r="A15" s="714" t="s">
        <v>726</v>
      </c>
      <c r="B15" s="714">
        <v>2110154647</v>
      </c>
      <c r="C15" s="715">
        <v>44484</v>
      </c>
      <c r="D15" s="714" t="s">
        <v>735</v>
      </c>
      <c r="E15" s="714">
        <v>0</v>
      </c>
      <c r="F15" s="714">
        <v>1409804.76</v>
      </c>
      <c r="G15" s="714">
        <v>-1409742.12</v>
      </c>
    </row>
    <row r="16" spans="1:7" hidden="1" x14ac:dyDescent="0.25">
      <c r="A16" s="714" t="s">
        <v>726</v>
      </c>
      <c r="B16" s="714">
        <v>2110164669</v>
      </c>
      <c r="C16" s="715">
        <v>44485</v>
      </c>
      <c r="D16" s="714" t="s">
        <v>730</v>
      </c>
      <c r="E16" s="714">
        <v>1212092.6299999999</v>
      </c>
      <c r="G16" s="714">
        <v>-197649.49</v>
      </c>
    </row>
    <row r="17" spans="1:7" x14ac:dyDescent="0.25">
      <c r="A17" s="714" t="s">
        <v>726</v>
      </c>
      <c r="B17" s="714">
        <v>2110164670</v>
      </c>
      <c r="C17" s="715">
        <v>44485</v>
      </c>
      <c r="D17" s="714" t="s">
        <v>736</v>
      </c>
      <c r="E17" s="714">
        <v>0</v>
      </c>
      <c r="F17" s="714">
        <v>1831732.01</v>
      </c>
      <c r="G17" s="714">
        <v>-2029381.5</v>
      </c>
    </row>
    <row r="18" spans="1:7" hidden="1" x14ac:dyDescent="0.25">
      <c r="A18" s="714" t="s">
        <v>726</v>
      </c>
      <c r="B18" s="714">
        <v>2110174700</v>
      </c>
      <c r="C18" s="715">
        <v>44486</v>
      </c>
      <c r="D18" s="714" t="s">
        <v>730</v>
      </c>
      <c r="E18" s="714">
        <v>1574838.98</v>
      </c>
      <c r="G18" s="714">
        <v>-454542.52</v>
      </c>
    </row>
    <row r="19" spans="1:7" x14ac:dyDescent="0.25">
      <c r="A19" s="714" t="s">
        <v>726</v>
      </c>
      <c r="B19" s="714">
        <v>2110174701</v>
      </c>
      <c r="C19" s="715">
        <v>44486</v>
      </c>
      <c r="D19" s="714" t="s">
        <v>737</v>
      </c>
      <c r="E19" s="714">
        <v>0</v>
      </c>
      <c r="F19" s="714">
        <v>1825971.44</v>
      </c>
      <c r="G19" s="714">
        <v>-2280513.96</v>
      </c>
    </row>
    <row r="20" spans="1:7" hidden="1" x14ac:dyDescent="0.25">
      <c r="A20" s="714" t="s">
        <v>726</v>
      </c>
      <c r="B20" s="714">
        <v>2110186130</v>
      </c>
      <c r="C20" s="715">
        <v>44487</v>
      </c>
      <c r="D20" s="714" t="s">
        <v>730</v>
      </c>
      <c r="E20" s="714">
        <v>1569891.4</v>
      </c>
      <c r="G20" s="714">
        <v>-710622.56</v>
      </c>
    </row>
    <row r="21" spans="1:7" x14ac:dyDescent="0.25">
      <c r="A21" s="714" t="s">
        <v>726</v>
      </c>
      <c r="B21" s="714">
        <v>2110186637</v>
      </c>
      <c r="C21" s="715">
        <v>44487</v>
      </c>
      <c r="D21" s="714" t="s">
        <v>738</v>
      </c>
      <c r="E21" s="714">
        <v>0</v>
      </c>
      <c r="F21" s="714">
        <v>1416883.42</v>
      </c>
      <c r="G21" s="714">
        <v>-2127505.98</v>
      </c>
    </row>
    <row r="22" spans="1:7" hidden="1" x14ac:dyDescent="0.25">
      <c r="A22" s="714" t="s">
        <v>726</v>
      </c>
      <c r="B22" s="714">
        <v>2110196651</v>
      </c>
      <c r="C22" s="715">
        <v>44488</v>
      </c>
      <c r="D22" s="714" t="s">
        <v>730</v>
      </c>
      <c r="E22" s="714">
        <v>1218504.23</v>
      </c>
      <c r="G22" s="714">
        <v>-909001.75</v>
      </c>
    </row>
    <row r="23" spans="1:7" x14ac:dyDescent="0.25">
      <c r="A23" s="714" t="s">
        <v>726</v>
      </c>
      <c r="B23" s="714">
        <v>2110196652</v>
      </c>
      <c r="C23" s="715">
        <v>44488</v>
      </c>
      <c r="D23" s="714" t="s">
        <v>739</v>
      </c>
      <c r="E23" s="714">
        <v>0</v>
      </c>
      <c r="F23" s="714">
        <v>1498121.76</v>
      </c>
      <c r="G23" s="714">
        <v>-2407123.5099999998</v>
      </c>
    </row>
    <row r="24" spans="1:7" hidden="1" x14ac:dyDescent="0.25">
      <c r="A24" s="714" t="s">
        <v>726</v>
      </c>
      <c r="B24" s="714">
        <v>2110207415</v>
      </c>
      <c r="C24" s="715">
        <v>44489</v>
      </c>
      <c r="D24" s="714" t="s">
        <v>730</v>
      </c>
      <c r="E24" s="714">
        <v>1288360.6399999999</v>
      </c>
      <c r="G24" s="714">
        <v>-1118762.8700000001</v>
      </c>
    </row>
    <row r="25" spans="1:7" x14ac:dyDescent="0.25">
      <c r="A25" s="714" t="s">
        <v>726</v>
      </c>
      <c r="B25" s="714">
        <v>2110208096</v>
      </c>
      <c r="C25" s="715">
        <v>44489</v>
      </c>
      <c r="D25" s="714" t="s">
        <v>740</v>
      </c>
      <c r="E25" s="714">
        <v>0</v>
      </c>
      <c r="F25" s="714">
        <v>1582836.44</v>
      </c>
      <c r="G25" s="714">
        <v>-2701599.31</v>
      </c>
    </row>
    <row r="26" spans="1:7" hidden="1" x14ac:dyDescent="0.25">
      <c r="A26" s="714" t="s">
        <v>726</v>
      </c>
      <c r="B26" s="714">
        <v>2110219211</v>
      </c>
      <c r="C26" s="715">
        <v>44490</v>
      </c>
      <c r="D26" s="714" t="s">
        <v>730</v>
      </c>
      <c r="E26" s="714">
        <v>1360612.47</v>
      </c>
      <c r="G26" s="714">
        <v>-1340986.8400000001</v>
      </c>
    </row>
    <row r="27" spans="1:7" x14ac:dyDescent="0.25">
      <c r="A27" s="714" t="s">
        <v>726</v>
      </c>
      <c r="B27" s="714">
        <v>2110219212</v>
      </c>
      <c r="C27" s="715">
        <v>44490</v>
      </c>
      <c r="D27" s="714" t="s">
        <v>741</v>
      </c>
      <c r="E27" s="714">
        <v>0</v>
      </c>
      <c r="F27" s="714">
        <v>482353.05</v>
      </c>
      <c r="G27" s="714">
        <v>-1823339.89</v>
      </c>
    </row>
    <row r="28" spans="1:7" hidden="1" x14ac:dyDescent="0.25">
      <c r="A28" s="714" t="s">
        <v>726</v>
      </c>
      <c r="B28" s="714">
        <v>2110220209</v>
      </c>
      <c r="C28" s="715">
        <v>44491</v>
      </c>
      <c r="D28" s="714" t="s">
        <v>730</v>
      </c>
      <c r="E28" s="714">
        <v>415045.96</v>
      </c>
      <c r="G28" s="714">
        <v>-1408293.93</v>
      </c>
    </row>
    <row r="29" spans="1:7" x14ac:dyDescent="0.25">
      <c r="A29" s="714" t="s">
        <v>726</v>
      </c>
      <c r="B29" s="714">
        <v>2110220210</v>
      </c>
      <c r="C29" s="715">
        <v>44491</v>
      </c>
      <c r="D29" s="714" t="s">
        <v>742</v>
      </c>
      <c r="E29" s="714">
        <v>0</v>
      </c>
      <c r="F29" s="714">
        <v>1629088.26</v>
      </c>
      <c r="G29" s="714">
        <v>-3037382.19</v>
      </c>
    </row>
    <row r="30" spans="1:7" hidden="1" x14ac:dyDescent="0.25">
      <c r="A30" s="714" t="s">
        <v>726</v>
      </c>
      <c r="B30" s="714">
        <v>2110230223</v>
      </c>
      <c r="C30" s="715">
        <v>44492</v>
      </c>
      <c r="D30" s="714" t="s">
        <v>730</v>
      </c>
      <c r="E30" s="714">
        <v>1401741.2</v>
      </c>
      <c r="G30" s="714">
        <v>-1635640.99</v>
      </c>
    </row>
    <row r="31" spans="1:7" x14ac:dyDescent="0.25">
      <c r="A31" s="714" t="s">
        <v>726</v>
      </c>
      <c r="B31" s="714">
        <v>2110230224</v>
      </c>
      <c r="C31" s="715">
        <v>44492</v>
      </c>
      <c r="D31" s="714" t="s">
        <v>743</v>
      </c>
      <c r="E31" s="714">
        <v>0</v>
      </c>
      <c r="F31" s="714">
        <v>1791594.99</v>
      </c>
      <c r="G31" s="714">
        <v>-3427235.98</v>
      </c>
    </row>
    <row r="32" spans="1:7" hidden="1" x14ac:dyDescent="0.25">
      <c r="A32" s="714" t="s">
        <v>726</v>
      </c>
      <c r="B32" s="714">
        <v>2110240229</v>
      </c>
      <c r="C32" s="715">
        <v>44493</v>
      </c>
      <c r="D32" s="714" t="s">
        <v>730</v>
      </c>
      <c r="E32" s="714">
        <v>1541564.86</v>
      </c>
      <c r="G32" s="714">
        <v>-1885671.12</v>
      </c>
    </row>
    <row r="33" spans="1:7" x14ac:dyDescent="0.25">
      <c r="A33" s="714" t="s">
        <v>726</v>
      </c>
      <c r="B33" s="714">
        <v>2110240230</v>
      </c>
      <c r="C33" s="715">
        <v>44493</v>
      </c>
      <c r="D33" s="714" t="s">
        <v>744</v>
      </c>
      <c r="E33" s="714">
        <v>0</v>
      </c>
      <c r="F33" s="714">
        <v>1785352.76</v>
      </c>
      <c r="G33" s="714">
        <v>-3671023.88</v>
      </c>
    </row>
    <row r="34" spans="1:7" hidden="1" x14ac:dyDescent="0.25">
      <c r="A34" s="714" t="s">
        <v>726</v>
      </c>
      <c r="B34" s="714">
        <v>2110252116</v>
      </c>
      <c r="C34" s="715">
        <v>44494</v>
      </c>
      <c r="D34" s="714" t="s">
        <v>730</v>
      </c>
      <c r="E34" s="714">
        <v>1536191.7</v>
      </c>
      <c r="G34" s="714">
        <v>-2134832.1800000002</v>
      </c>
    </row>
    <row r="35" spans="1:7" x14ac:dyDescent="0.25">
      <c r="A35" s="714" t="s">
        <v>726</v>
      </c>
      <c r="B35" s="714">
        <v>2110252117</v>
      </c>
      <c r="C35" s="715">
        <v>44494</v>
      </c>
      <c r="D35" s="714" t="s">
        <v>745</v>
      </c>
      <c r="E35" s="714">
        <v>0</v>
      </c>
      <c r="F35" s="714">
        <v>1420420.74</v>
      </c>
      <c r="G35" s="714">
        <v>-3555252.92</v>
      </c>
    </row>
    <row r="36" spans="1:7" hidden="1" x14ac:dyDescent="0.25">
      <c r="A36" s="714" t="s">
        <v>726</v>
      </c>
      <c r="B36" s="714">
        <v>2110262802</v>
      </c>
      <c r="C36" s="715">
        <v>44495</v>
      </c>
      <c r="D36" s="714" t="s">
        <v>730</v>
      </c>
      <c r="E36" s="714">
        <v>1222119.7</v>
      </c>
      <c r="G36" s="714">
        <v>-2333133.2200000002</v>
      </c>
    </row>
    <row r="37" spans="1:7" x14ac:dyDescent="0.25">
      <c r="A37" s="714" t="s">
        <v>726</v>
      </c>
      <c r="B37" s="714">
        <v>2110263180</v>
      </c>
      <c r="C37" s="715">
        <v>44495</v>
      </c>
      <c r="D37" s="714" t="s">
        <v>746</v>
      </c>
      <c r="E37" s="714">
        <v>0</v>
      </c>
      <c r="F37" s="714">
        <v>1626537.14</v>
      </c>
      <c r="G37" s="714">
        <v>-3959670.36</v>
      </c>
    </row>
    <row r="38" spans="1:7" hidden="1" x14ac:dyDescent="0.25">
      <c r="A38" s="714" t="s">
        <v>726</v>
      </c>
      <c r="B38" s="714">
        <v>2110274252</v>
      </c>
      <c r="C38" s="715">
        <v>44496</v>
      </c>
      <c r="D38" s="714" t="s">
        <v>730</v>
      </c>
      <c r="E38" s="714">
        <v>1399850.12</v>
      </c>
      <c r="G38" s="714">
        <v>-2559820.2400000002</v>
      </c>
    </row>
    <row r="39" spans="1:7" x14ac:dyDescent="0.25">
      <c r="A39" s="714" t="s">
        <v>726</v>
      </c>
      <c r="B39" s="714">
        <v>2110274253</v>
      </c>
      <c r="C39" s="715">
        <v>44496</v>
      </c>
      <c r="D39" s="714" t="s">
        <v>747</v>
      </c>
      <c r="E39" s="714">
        <v>0</v>
      </c>
      <c r="F39" s="714">
        <v>1729740.07</v>
      </c>
      <c r="G39" s="714">
        <v>-4289560.3099999996</v>
      </c>
    </row>
    <row r="40" spans="1:7" hidden="1" x14ac:dyDescent="0.25">
      <c r="A40" s="714" t="s">
        <v>726</v>
      </c>
      <c r="B40" s="714">
        <v>2110284875</v>
      </c>
      <c r="C40" s="715">
        <v>44497</v>
      </c>
      <c r="D40" s="714" t="s">
        <v>730</v>
      </c>
      <c r="E40" s="714">
        <v>1488701</v>
      </c>
      <c r="G40" s="714">
        <v>-2800859.31</v>
      </c>
    </row>
    <row r="41" spans="1:7" x14ac:dyDescent="0.25">
      <c r="A41" s="714" t="s">
        <v>726</v>
      </c>
      <c r="B41" s="714">
        <v>2110285229</v>
      </c>
      <c r="C41" s="715">
        <v>44497</v>
      </c>
      <c r="D41" s="714" t="s">
        <v>748</v>
      </c>
      <c r="E41" s="714">
        <v>0</v>
      </c>
      <c r="F41" s="714">
        <v>1638375.51</v>
      </c>
      <c r="G41" s="714">
        <v>-4439234.82</v>
      </c>
    </row>
    <row r="42" spans="1:7" hidden="1" x14ac:dyDescent="0.25">
      <c r="A42" s="714" t="s">
        <v>726</v>
      </c>
      <c r="B42" s="714">
        <v>2110295680</v>
      </c>
      <c r="C42" s="715">
        <v>44498</v>
      </c>
      <c r="D42" s="714" t="s">
        <v>730</v>
      </c>
      <c r="E42" s="714">
        <v>1410680.4</v>
      </c>
      <c r="G42" s="714">
        <v>-3028554.42</v>
      </c>
    </row>
    <row r="43" spans="1:7" x14ac:dyDescent="0.25">
      <c r="A43" s="714" t="s">
        <v>726</v>
      </c>
      <c r="B43" s="714">
        <v>2110297268</v>
      </c>
      <c r="C43" s="715">
        <v>44498</v>
      </c>
      <c r="D43" s="714" t="s">
        <v>749</v>
      </c>
      <c r="E43" s="714">
        <v>0</v>
      </c>
      <c r="F43" s="714">
        <v>1142089.18</v>
      </c>
      <c r="G43" s="714">
        <v>-4170643.6</v>
      </c>
    </row>
    <row r="44" spans="1:7" hidden="1" x14ac:dyDescent="0.25">
      <c r="A44" s="714" t="s">
        <v>726</v>
      </c>
      <c r="B44" s="714">
        <v>2110307279</v>
      </c>
      <c r="C44" s="715">
        <v>44499</v>
      </c>
      <c r="D44" s="714" t="s">
        <v>730</v>
      </c>
      <c r="E44" s="714">
        <v>984732.04</v>
      </c>
      <c r="G44" s="714">
        <v>-3185911.56</v>
      </c>
    </row>
    <row r="45" spans="1:7" x14ac:dyDescent="0.25">
      <c r="A45" s="714" t="s">
        <v>726</v>
      </c>
      <c r="B45" s="714">
        <v>2110307280</v>
      </c>
      <c r="C45" s="715">
        <v>44499</v>
      </c>
      <c r="D45" s="714" t="s">
        <v>750</v>
      </c>
      <c r="E45" s="714">
        <v>0</v>
      </c>
      <c r="F45" s="714">
        <v>1482201.04</v>
      </c>
      <c r="G45" s="714">
        <v>-4668112.5999999996</v>
      </c>
    </row>
    <row r="46" spans="1:7" hidden="1" x14ac:dyDescent="0.25">
      <c r="A46" s="714" t="s">
        <v>726</v>
      </c>
      <c r="B46" s="714">
        <v>2110317291</v>
      </c>
      <c r="C46" s="715">
        <v>44500</v>
      </c>
      <c r="D46" s="714" t="s">
        <v>730</v>
      </c>
      <c r="E46" s="714">
        <v>1277970.94</v>
      </c>
      <c r="G46" s="714">
        <v>-3390141.66</v>
      </c>
    </row>
    <row r="47" spans="1:7" x14ac:dyDescent="0.25">
      <c r="A47" s="714" t="s">
        <v>726</v>
      </c>
      <c r="B47" s="714">
        <v>2110317292</v>
      </c>
      <c r="C47" s="715">
        <v>44500</v>
      </c>
      <c r="D47" s="714" t="s">
        <v>751</v>
      </c>
      <c r="E47" s="714">
        <v>0</v>
      </c>
      <c r="F47" s="714">
        <v>1481913.01</v>
      </c>
      <c r="G47" s="714">
        <v>-4872054.67</v>
      </c>
    </row>
    <row r="48" spans="1:7" hidden="1" x14ac:dyDescent="0.25">
      <c r="A48" s="714" t="s">
        <v>726</v>
      </c>
      <c r="B48" s="714">
        <v>2111017767</v>
      </c>
      <c r="C48" s="715">
        <v>44501</v>
      </c>
      <c r="D48" s="714" t="s">
        <v>734</v>
      </c>
      <c r="E48" s="714">
        <v>1620260</v>
      </c>
      <c r="G48" s="714">
        <v>-3251794.67</v>
      </c>
    </row>
    <row r="49" spans="1:7" hidden="1" x14ac:dyDescent="0.25">
      <c r="A49" s="714" t="s">
        <v>726</v>
      </c>
      <c r="B49" s="714">
        <v>2111017768</v>
      </c>
      <c r="C49" s="715">
        <v>44501</v>
      </c>
      <c r="D49" s="714" t="s">
        <v>734</v>
      </c>
      <c r="E49" s="714">
        <v>1408356</v>
      </c>
      <c r="G49" s="714">
        <v>-1843438.67</v>
      </c>
    </row>
    <row r="50" spans="1:7" hidden="1" x14ac:dyDescent="0.25">
      <c r="A50" s="714" t="s">
        <v>726</v>
      </c>
      <c r="B50" s="714">
        <v>2111018078</v>
      </c>
      <c r="C50" s="715">
        <v>44501</v>
      </c>
      <c r="D50" s="714" t="s">
        <v>730</v>
      </c>
      <c r="E50" s="714">
        <v>1277720</v>
      </c>
      <c r="G50" s="714">
        <v>-565718.67000000004</v>
      </c>
    </row>
    <row r="51" spans="1:7" x14ac:dyDescent="0.25">
      <c r="A51" s="714" t="s">
        <v>726</v>
      </c>
      <c r="B51" s="714">
        <v>2111019098</v>
      </c>
      <c r="C51" s="715">
        <v>44501</v>
      </c>
      <c r="D51" s="714" t="s">
        <v>752</v>
      </c>
      <c r="E51" s="714">
        <v>0</v>
      </c>
      <c r="F51" s="714">
        <v>1544301.7</v>
      </c>
      <c r="G51" s="714">
        <v>-2110020.37</v>
      </c>
    </row>
    <row r="52" spans="1:7" hidden="1" x14ac:dyDescent="0.25">
      <c r="A52" s="714" t="s">
        <v>726</v>
      </c>
      <c r="B52" s="714">
        <v>2111020062</v>
      </c>
      <c r="C52" s="715">
        <v>44502</v>
      </c>
      <c r="D52" s="714" t="s">
        <v>730</v>
      </c>
      <c r="E52" s="714">
        <v>1330599.6399999999</v>
      </c>
      <c r="G52" s="714">
        <v>-779420.73</v>
      </c>
    </row>
    <row r="53" spans="1:7" x14ac:dyDescent="0.25">
      <c r="A53" s="714" t="s">
        <v>726</v>
      </c>
      <c r="B53" s="714">
        <v>2111020063</v>
      </c>
      <c r="C53" s="715">
        <v>44502</v>
      </c>
      <c r="D53" s="714" t="s">
        <v>753</v>
      </c>
      <c r="E53" s="714">
        <v>0</v>
      </c>
      <c r="F53" s="714">
        <v>1537712.63</v>
      </c>
      <c r="G53" s="714">
        <v>-2317133.36</v>
      </c>
    </row>
    <row r="54" spans="1:7" hidden="1" x14ac:dyDescent="0.25">
      <c r="A54" s="714" t="s">
        <v>726</v>
      </c>
      <c r="B54" s="714">
        <v>2111031067</v>
      </c>
      <c r="C54" s="715">
        <v>44503</v>
      </c>
      <c r="D54" s="714" t="s">
        <v>730</v>
      </c>
      <c r="E54" s="714">
        <v>1324916.5</v>
      </c>
      <c r="G54" s="714">
        <v>-992216.86</v>
      </c>
    </row>
    <row r="55" spans="1:7" x14ac:dyDescent="0.25">
      <c r="A55" s="714" t="s">
        <v>726</v>
      </c>
      <c r="B55" s="714">
        <v>2111031068</v>
      </c>
      <c r="C55" s="715">
        <v>44503</v>
      </c>
      <c r="D55" s="714" t="s">
        <v>754</v>
      </c>
      <c r="E55" s="714">
        <v>0</v>
      </c>
      <c r="F55" s="714">
        <v>1525910.05</v>
      </c>
      <c r="G55" s="714">
        <v>-2518126.91</v>
      </c>
    </row>
    <row r="56" spans="1:7" hidden="1" x14ac:dyDescent="0.25">
      <c r="A56" s="714" t="s">
        <v>726</v>
      </c>
      <c r="B56" s="714">
        <v>2111041366</v>
      </c>
      <c r="C56" s="715">
        <v>44504</v>
      </c>
      <c r="D56" s="714" t="s">
        <v>730</v>
      </c>
      <c r="E56" s="714">
        <v>1315108.02</v>
      </c>
      <c r="G56" s="714">
        <v>-1203018.8899999999</v>
      </c>
    </row>
    <row r="57" spans="1:7" x14ac:dyDescent="0.25">
      <c r="A57" s="714" t="s">
        <v>726</v>
      </c>
      <c r="B57" s="714">
        <v>2111042092</v>
      </c>
      <c r="C57" s="715">
        <v>44504</v>
      </c>
      <c r="D57" s="714" t="s">
        <v>755</v>
      </c>
      <c r="E57" s="714">
        <v>0</v>
      </c>
      <c r="F57" s="714">
        <v>1554399.92</v>
      </c>
      <c r="G57" s="714">
        <v>-2757418.81</v>
      </c>
    </row>
    <row r="58" spans="1:7" hidden="1" x14ac:dyDescent="0.25">
      <c r="A58" s="714" t="s">
        <v>726</v>
      </c>
      <c r="B58" s="714">
        <v>2111052417</v>
      </c>
      <c r="C58" s="715">
        <v>44505</v>
      </c>
      <c r="D58" s="714" t="s">
        <v>734</v>
      </c>
      <c r="E58" s="714">
        <v>1418193</v>
      </c>
      <c r="G58" s="714">
        <v>-1339225.81</v>
      </c>
    </row>
    <row r="59" spans="1:7" hidden="1" x14ac:dyDescent="0.25">
      <c r="A59" s="714" t="s">
        <v>726</v>
      </c>
      <c r="B59" s="714">
        <v>2111052589</v>
      </c>
      <c r="C59" s="715">
        <v>44505</v>
      </c>
      <c r="D59" s="714" t="s">
        <v>730</v>
      </c>
      <c r="E59" s="714">
        <v>1339286.8799999999</v>
      </c>
      <c r="G59" s="714">
        <v>61.07</v>
      </c>
    </row>
    <row r="60" spans="1:7" x14ac:dyDescent="0.25">
      <c r="A60" s="714" t="s">
        <v>726</v>
      </c>
      <c r="B60" s="714">
        <v>2111053372</v>
      </c>
      <c r="C60" s="715">
        <v>44505</v>
      </c>
      <c r="D60" s="714" t="s">
        <v>756</v>
      </c>
      <c r="E60" s="714">
        <v>0</v>
      </c>
      <c r="F60" s="714">
        <v>1550482.38</v>
      </c>
      <c r="G60" s="714">
        <v>-1550421.31</v>
      </c>
    </row>
    <row r="61" spans="1:7" hidden="1" x14ac:dyDescent="0.25">
      <c r="A61" s="714" t="s">
        <v>726</v>
      </c>
      <c r="B61" s="714">
        <v>2111063383</v>
      </c>
      <c r="C61" s="715">
        <v>44506</v>
      </c>
      <c r="D61" s="714" t="s">
        <v>730</v>
      </c>
      <c r="E61" s="714">
        <v>1335811.24</v>
      </c>
      <c r="G61" s="714">
        <v>-214610.07</v>
      </c>
    </row>
    <row r="62" spans="1:7" x14ac:dyDescent="0.25">
      <c r="A62" s="714" t="s">
        <v>726</v>
      </c>
      <c r="B62" s="714">
        <v>2111063384</v>
      </c>
      <c r="C62" s="715">
        <v>44506</v>
      </c>
      <c r="D62" s="714" t="s">
        <v>757</v>
      </c>
      <c r="E62" s="714">
        <v>0</v>
      </c>
      <c r="F62" s="714">
        <v>1538798.1</v>
      </c>
      <c r="G62" s="714">
        <v>-1753408.17</v>
      </c>
    </row>
    <row r="63" spans="1:7" hidden="1" x14ac:dyDescent="0.25">
      <c r="A63" s="714" t="s">
        <v>726</v>
      </c>
      <c r="B63" s="714">
        <v>2111073397</v>
      </c>
      <c r="C63" s="715">
        <v>44507</v>
      </c>
      <c r="D63" s="714" t="s">
        <v>730</v>
      </c>
      <c r="E63" s="714">
        <v>1325751.01</v>
      </c>
      <c r="G63" s="714">
        <v>-427657.16</v>
      </c>
    </row>
    <row r="64" spans="1:7" x14ac:dyDescent="0.25">
      <c r="A64" s="714" t="s">
        <v>726</v>
      </c>
      <c r="B64" s="714">
        <v>2111073398</v>
      </c>
      <c r="C64" s="715">
        <v>44507</v>
      </c>
      <c r="D64" s="714" t="s">
        <v>758</v>
      </c>
      <c r="E64" s="714">
        <v>0</v>
      </c>
      <c r="F64" s="714">
        <v>1540718.01</v>
      </c>
      <c r="G64" s="714">
        <v>-1968375.17</v>
      </c>
    </row>
    <row r="65" spans="1:7" hidden="1" x14ac:dyDescent="0.25">
      <c r="A65" s="714" t="s">
        <v>726</v>
      </c>
      <c r="B65" s="714">
        <v>2111084770</v>
      </c>
      <c r="C65" s="715">
        <v>44508</v>
      </c>
      <c r="D65" s="714" t="s">
        <v>730</v>
      </c>
      <c r="E65" s="714">
        <v>1327405</v>
      </c>
      <c r="G65" s="714">
        <v>-640970.17000000004</v>
      </c>
    </row>
    <row r="66" spans="1:7" x14ac:dyDescent="0.25">
      <c r="A66" s="714" t="s">
        <v>726</v>
      </c>
      <c r="B66" s="714">
        <v>2111085577</v>
      </c>
      <c r="C66" s="715">
        <v>44508</v>
      </c>
      <c r="D66" s="714" t="s">
        <v>759</v>
      </c>
      <c r="E66" s="714">
        <v>0</v>
      </c>
      <c r="F66" s="714">
        <v>1609807.27</v>
      </c>
      <c r="G66" s="714">
        <v>-2250777.44</v>
      </c>
    </row>
    <row r="67" spans="1:7" hidden="1" x14ac:dyDescent="0.25">
      <c r="A67" s="714" t="s">
        <v>726</v>
      </c>
      <c r="B67" s="714">
        <v>2111096252</v>
      </c>
      <c r="C67" s="715">
        <v>44509</v>
      </c>
      <c r="D67" s="714" t="s">
        <v>730</v>
      </c>
      <c r="E67" s="714">
        <v>1387003.19</v>
      </c>
      <c r="G67" s="714">
        <v>-863774.25</v>
      </c>
    </row>
    <row r="68" spans="1:7" x14ac:dyDescent="0.25">
      <c r="A68" s="714" t="s">
        <v>726</v>
      </c>
      <c r="B68" s="714">
        <v>2111096321</v>
      </c>
      <c r="C68" s="715">
        <v>44509</v>
      </c>
      <c r="D68" s="714" t="s">
        <v>760</v>
      </c>
      <c r="E68" s="714">
        <v>0</v>
      </c>
      <c r="F68" s="714">
        <v>1526271.26</v>
      </c>
      <c r="G68" s="714">
        <v>-2390045.5099999998</v>
      </c>
    </row>
    <row r="69" spans="1:7" hidden="1" x14ac:dyDescent="0.25">
      <c r="A69" s="714" t="s">
        <v>726</v>
      </c>
      <c r="B69" s="714">
        <v>2111107162</v>
      </c>
      <c r="C69" s="715">
        <v>44510</v>
      </c>
      <c r="D69" s="714" t="s">
        <v>730</v>
      </c>
      <c r="E69" s="714">
        <v>1314971.1499999999</v>
      </c>
      <c r="G69" s="714">
        <v>-1075074.3600000001</v>
      </c>
    </row>
    <row r="70" spans="1:7" x14ac:dyDescent="0.25">
      <c r="A70" s="714" t="s">
        <v>726</v>
      </c>
      <c r="B70" s="714">
        <v>2111107232</v>
      </c>
      <c r="C70" s="715">
        <v>44510</v>
      </c>
      <c r="D70" s="714" t="s">
        <v>761</v>
      </c>
      <c r="E70" s="714">
        <v>0</v>
      </c>
      <c r="F70" s="714">
        <v>1553569.22</v>
      </c>
      <c r="G70" s="714">
        <v>-2628643.58</v>
      </c>
    </row>
    <row r="71" spans="1:7" hidden="1" x14ac:dyDescent="0.25">
      <c r="A71" s="714" t="s">
        <v>726</v>
      </c>
      <c r="B71" s="714">
        <v>2111117644</v>
      </c>
      <c r="C71" s="715">
        <v>44511</v>
      </c>
      <c r="D71" s="714" t="s">
        <v>730</v>
      </c>
      <c r="E71" s="714">
        <v>1338347.1399999999</v>
      </c>
      <c r="G71" s="714">
        <v>-1290296.44</v>
      </c>
    </row>
    <row r="72" spans="1:7" x14ac:dyDescent="0.25">
      <c r="A72" s="714" t="s">
        <v>726</v>
      </c>
      <c r="B72" s="714">
        <v>2111118024</v>
      </c>
      <c r="C72" s="715">
        <v>44511</v>
      </c>
      <c r="D72" s="714" t="s">
        <v>762</v>
      </c>
      <c r="E72" s="714">
        <v>0</v>
      </c>
      <c r="F72" s="714">
        <v>1628459.53</v>
      </c>
      <c r="G72" s="714">
        <v>-2918755.97</v>
      </c>
    </row>
    <row r="73" spans="1:7" hidden="1" x14ac:dyDescent="0.25">
      <c r="A73" s="714" t="s">
        <v>726</v>
      </c>
      <c r="B73" s="714">
        <v>2111128121</v>
      </c>
      <c r="C73" s="715">
        <v>44512</v>
      </c>
      <c r="D73" s="714" t="s">
        <v>734</v>
      </c>
      <c r="E73" s="714">
        <v>1517687</v>
      </c>
      <c r="G73" s="714">
        <v>-1401068.97</v>
      </c>
    </row>
    <row r="74" spans="1:7" hidden="1" x14ac:dyDescent="0.25">
      <c r="A74" s="714" t="s">
        <v>726</v>
      </c>
      <c r="B74" s="714">
        <v>2111128339</v>
      </c>
      <c r="C74" s="715">
        <v>44512</v>
      </c>
      <c r="D74" s="714" t="s">
        <v>730</v>
      </c>
      <c r="E74" s="714">
        <v>1401129.49</v>
      </c>
      <c r="G74" s="714">
        <v>60.52</v>
      </c>
    </row>
    <row r="75" spans="1:7" x14ac:dyDescent="0.25">
      <c r="A75" s="714" t="s">
        <v>726</v>
      </c>
      <c r="B75" s="714">
        <v>2111129048</v>
      </c>
      <c r="C75" s="715">
        <v>44512</v>
      </c>
      <c r="D75" s="714" t="s">
        <v>763</v>
      </c>
      <c r="E75" s="714">
        <v>0</v>
      </c>
      <c r="F75" s="714">
        <v>1659880.94</v>
      </c>
      <c r="G75" s="714">
        <v>-1659820.42</v>
      </c>
    </row>
    <row r="76" spans="1:7" hidden="1" x14ac:dyDescent="0.25">
      <c r="A76" s="714" t="s">
        <v>726</v>
      </c>
      <c r="B76" s="714">
        <v>2111139055</v>
      </c>
      <c r="C76" s="715">
        <v>44513</v>
      </c>
      <c r="D76" s="714" t="s">
        <v>730</v>
      </c>
      <c r="E76" s="714">
        <v>1423317.85</v>
      </c>
      <c r="G76" s="714">
        <v>-236502.57</v>
      </c>
    </row>
    <row r="77" spans="1:7" x14ac:dyDescent="0.25">
      <c r="A77" s="714" t="s">
        <v>726</v>
      </c>
      <c r="B77" s="714">
        <v>2111139056</v>
      </c>
      <c r="C77" s="715">
        <v>44513</v>
      </c>
      <c r="D77" s="714" t="s">
        <v>764</v>
      </c>
      <c r="E77" s="714">
        <v>0</v>
      </c>
      <c r="F77" s="714">
        <v>1647810.04</v>
      </c>
      <c r="G77" s="714">
        <v>-1884312.61</v>
      </c>
    </row>
    <row r="78" spans="1:7" hidden="1" x14ac:dyDescent="0.25">
      <c r="A78" s="714" t="s">
        <v>726</v>
      </c>
      <c r="B78" s="714">
        <v>2111149063</v>
      </c>
      <c r="C78" s="715">
        <v>44514</v>
      </c>
      <c r="D78" s="714" t="s">
        <v>730</v>
      </c>
      <c r="E78" s="714">
        <v>1412965.98</v>
      </c>
      <c r="G78" s="714">
        <v>-471346.63</v>
      </c>
    </row>
    <row r="79" spans="1:7" x14ac:dyDescent="0.25">
      <c r="A79" s="714" t="s">
        <v>726</v>
      </c>
      <c r="B79" s="714">
        <v>2111149064</v>
      </c>
      <c r="C79" s="715">
        <v>44514</v>
      </c>
      <c r="D79" s="714" t="s">
        <v>765</v>
      </c>
      <c r="E79" s="714">
        <v>0</v>
      </c>
      <c r="F79" s="714">
        <v>1647810.41</v>
      </c>
      <c r="G79" s="714">
        <v>-2119157.04</v>
      </c>
    </row>
    <row r="80" spans="1:7" hidden="1" x14ac:dyDescent="0.25">
      <c r="A80" s="714" t="s">
        <v>726</v>
      </c>
      <c r="B80" s="714">
        <v>2111150248</v>
      </c>
      <c r="C80" s="715">
        <v>44515</v>
      </c>
      <c r="D80" s="714" t="s">
        <v>730</v>
      </c>
      <c r="E80" s="714">
        <v>1412967.34</v>
      </c>
      <c r="G80" s="714">
        <v>-706189.7</v>
      </c>
    </row>
    <row r="81" spans="1:7" x14ac:dyDescent="0.25">
      <c r="A81" s="714" t="s">
        <v>726</v>
      </c>
      <c r="B81" s="714">
        <v>2111150741</v>
      </c>
      <c r="C81" s="715">
        <v>44515</v>
      </c>
      <c r="D81" s="714" t="s">
        <v>766</v>
      </c>
      <c r="E81" s="714">
        <v>0</v>
      </c>
      <c r="F81" s="714">
        <v>1634088.55</v>
      </c>
      <c r="G81" s="714">
        <v>-2340278.25</v>
      </c>
    </row>
    <row r="82" spans="1:7" hidden="1" x14ac:dyDescent="0.25">
      <c r="A82" s="714" t="s">
        <v>726</v>
      </c>
      <c r="B82" s="714">
        <v>2111161170</v>
      </c>
      <c r="C82" s="715">
        <v>44516</v>
      </c>
      <c r="D82" s="714" t="s">
        <v>730</v>
      </c>
      <c r="E82" s="714">
        <v>1401112.42</v>
      </c>
      <c r="G82" s="714">
        <v>-939165.83</v>
      </c>
    </row>
    <row r="83" spans="1:7" x14ac:dyDescent="0.25">
      <c r="A83" s="714" t="s">
        <v>726</v>
      </c>
      <c r="B83" s="714">
        <v>2111161716</v>
      </c>
      <c r="C83" s="715">
        <v>44516</v>
      </c>
      <c r="D83" s="714" t="s">
        <v>767</v>
      </c>
      <c r="E83" s="714">
        <v>0</v>
      </c>
      <c r="F83" s="714">
        <v>1669939.5</v>
      </c>
      <c r="G83" s="714">
        <v>-2609105.33</v>
      </c>
    </row>
    <row r="84" spans="1:7" hidden="1" x14ac:dyDescent="0.25">
      <c r="A84" s="714" t="s">
        <v>726</v>
      </c>
      <c r="B84" s="714">
        <v>2111172043</v>
      </c>
      <c r="C84" s="715">
        <v>44517</v>
      </c>
      <c r="D84" s="714" t="s">
        <v>730</v>
      </c>
      <c r="E84" s="714">
        <v>1431853.38</v>
      </c>
      <c r="G84" s="714">
        <v>-1177251.95</v>
      </c>
    </row>
    <row r="85" spans="1:7" x14ac:dyDescent="0.25">
      <c r="A85" s="714" t="s">
        <v>726</v>
      </c>
      <c r="B85" s="714">
        <v>2111172600</v>
      </c>
      <c r="C85" s="715">
        <v>44517</v>
      </c>
      <c r="D85" s="714" t="s">
        <v>768</v>
      </c>
      <c r="E85" s="714">
        <v>0</v>
      </c>
      <c r="F85" s="714">
        <v>1518112.99</v>
      </c>
      <c r="G85" s="714">
        <v>-2695364.94</v>
      </c>
    </row>
    <row r="86" spans="1:7" hidden="1" x14ac:dyDescent="0.25">
      <c r="A86" s="714" t="s">
        <v>726</v>
      </c>
      <c r="B86" s="714">
        <v>2111182969</v>
      </c>
      <c r="C86" s="715">
        <v>44518</v>
      </c>
      <c r="D86" s="714" t="s">
        <v>730</v>
      </c>
      <c r="E86" s="714">
        <v>1305141.94</v>
      </c>
      <c r="G86" s="714">
        <v>-1390223</v>
      </c>
    </row>
    <row r="87" spans="1:7" x14ac:dyDescent="0.25">
      <c r="A87" s="714" t="s">
        <v>726</v>
      </c>
      <c r="B87" s="714">
        <v>2111183508</v>
      </c>
      <c r="C87" s="715">
        <v>44518</v>
      </c>
      <c r="D87" s="714" t="s">
        <v>769</v>
      </c>
      <c r="E87" s="714">
        <v>0</v>
      </c>
      <c r="F87" s="714">
        <v>1544680.09</v>
      </c>
      <c r="G87" s="714">
        <v>-2934903.09</v>
      </c>
    </row>
    <row r="88" spans="1:7" hidden="1" x14ac:dyDescent="0.25">
      <c r="A88" s="714" t="s">
        <v>726</v>
      </c>
      <c r="B88" s="714">
        <v>2111193803</v>
      </c>
      <c r="C88" s="715">
        <v>44519</v>
      </c>
      <c r="D88" s="714" t="s">
        <v>730</v>
      </c>
      <c r="E88" s="714">
        <v>1327969.04</v>
      </c>
      <c r="G88" s="714">
        <v>-1606934.05</v>
      </c>
    </row>
    <row r="89" spans="1:7" x14ac:dyDescent="0.25">
      <c r="A89" s="714" t="s">
        <v>726</v>
      </c>
      <c r="B89" s="714">
        <v>2111194506</v>
      </c>
      <c r="C89" s="715">
        <v>44519</v>
      </c>
      <c r="D89" s="714" t="s">
        <v>770</v>
      </c>
      <c r="E89" s="714">
        <v>0</v>
      </c>
      <c r="F89" s="714">
        <v>1490392.03</v>
      </c>
      <c r="G89" s="714">
        <v>-3097326.08</v>
      </c>
    </row>
    <row r="90" spans="1:7" hidden="1" x14ac:dyDescent="0.25">
      <c r="A90" s="714" t="s">
        <v>726</v>
      </c>
      <c r="B90" s="714">
        <v>2111204515</v>
      </c>
      <c r="C90" s="715">
        <v>44520</v>
      </c>
      <c r="D90" s="714" t="s">
        <v>730</v>
      </c>
      <c r="E90" s="714">
        <v>1284063.03</v>
      </c>
      <c r="G90" s="714">
        <v>-1813263.05</v>
      </c>
    </row>
    <row r="91" spans="1:7" x14ac:dyDescent="0.25">
      <c r="A91" s="714" t="s">
        <v>726</v>
      </c>
      <c r="B91" s="714">
        <v>2111204516</v>
      </c>
      <c r="C91" s="715">
        <v>44520</v>
      </c>
      <c r="D91" s="714" t="s">
        <v>771</v>
      </c>
      <c r="E91" s="714">
        <v>0</v>
      </c>
      <c r="F91" s="714">
        <v>1623131.96</v>
      </c>
      <c r="G91" s="714">
        <v>-3436395.01</v>
      </c>
    </row>
    <row r="92" spans="1:7" hidden="1" x14ac:dyDescent="0.25">
      <c r="A92" s="714" t="s">
        <v>726</v>
      </c>
      <c r="B92" s="714">
        <v>2111214531</v>
      </c>
      <c r="C92" s="715">
        <v>44521</v>
      </c>
      <c r="D92" s="714" t="s">
        <v>730</v>
      </c>
      <c r="E92" s="714">
        <v>1398416.94</v>
      </c>
      <c r="G92" s="714">
        <v>-2037978.07</v>
      </c>
    </row>
    <row r="93" spans="1:7" x14ac:dyDescent="0.25">
      <c r="A93" s="714" t="s">
        <v>726</v>
      </c>
      <c r="B93" s="714">
        <v>2111214532</v>
      </c>
      <c r="C93" s="715">
        <v>44521</v>
      </c>
      <c r="D93" s="714" t="s">
        <v>772</v>
      </c>
      <c r="E93" s="714">
        <v>0</v>
      </c>
      <c r="F93" s="714">
        <v>1619289.95</v>
      </c>
      <c r="G93" s="714">
        <v>-3657268.02</v>
      </c>
    </row>
    <row r="94" spans="1:7" hidden="1" x14ac:dyDescent="0.25">
      <c r="A94" s="714" t="s">
        <v>726</v>
      </c>
      <c r="B94" s="714">
        <v>2111225005</v>
      </c>
      <c r="C94" s="715">
        <v>44522</v>
      </c>
      <c r="D94" s="714" t="s">
        <v>734</v>
      </c>
      <c r="E94" s="714">
        <v>1606994</v>
      </c>
      <c r="G94" s="714">
        <v>-2050274.02</v>
      </c>
    </row>
    <row r="95" spans="1:7" x14ac:dyDescent="0.25">
      <c r="A95" s="714" t="s">
        <v>726</v>
      </c>
      <c r="B95" s="714">
        <v>2111226226</v>
      </c>
      <c r="C95" s="715">
        <v>44522</v>
      </c>
      <c r="D95" s="714" t="s">
        <v>773</v>
      </c>
      <c r="E95" s="714">
        <v>0</v>
      </c>
      <c r="F95" s="714">
        <v>1323112.01</v>
      </c>
      <c r="G95" s="714">
        <v>-1978277.08</v>
      </c>
    </row>
    <row r="96" spans="1:7" hidden="1" x14ac:dyDescent="0.25">
      <c r="A96" s="714" t="s">
        <v>726</v>
      </c>
      <c r="B96" s="714">
        <v>2111225649</v>
      </c>
      <c r="C96" s="715">
        <v>44522</v>
      </c>
      <c r="D96" s="714" t="s">
        <v>730</v>
      </c>
      <c r="E96" s="714">
        <v>1395108.95</v>
      </c>
      <c r="G96" s="714">
        <v>-655165.06999999995</v>
      </c>
    </row>
    <row r="97" spans="1:7" hidden="1" x14ac:dyDescent="0.25">
      <c r="A97" s="714" t="s">
        <v>726</v>
      </c>
      <c r="B97" s="714">
        <v>2111236684</v>
      </c>
      <c r="C97" s="715">
        <v>44523</v>
      </c>
      <c r="D97" s="714" t="s">
        <v>730</v>
      </c>
      <c r="E97" s="714">
        <v>1139927.8999999999</v>
      </c>
      <c r="G97" s="714">
        <v>-838349.18</v>
      </c>
    </row>
    <row r="98" spans="1:7" x14ac:dyDescent="0.25">
      <c r="A98" s="714" t="s">
        <v>726</v>
      </c>
      <c r="B98" s="714">
        <v>2111237293</v>
      </c>
      <c r="C98" s="715">
        <v>44523</v>
      </c>
      <c r="D98" s="714" t="s">
        <v>774</v>
      </c>
      <c r="E98" s="714">
        <v>0</v>
      </c>
      <c r="F98" s="714">
        <v>1898927.22</v>
      </c>
      <c r="G98" s="714">
        <v>-2737276.4</v>
      </c>
    </row>
    <row r="99" spans="1:7" hidden="1" x14ac:dyDescent="0.25">
      <c r="A99" s="714" t="s">
        <v>726</v>
      </c>
      <c r="B99" s="714">
        <v>2111247585</v>
      </c>
      <c r="C99" s="715">
        <v>44524</v>
      </c>
      <c r="D99" s="714" t="s">
        <v>730</v>
      </c>
      <c r="E99" s="714">
        <v>1635665.04</v>
      </c>
      <c r="G99" s="714">
        <v>-1101611.3600000001</v>
      </c>
    </row>
    <row r="100" spans="1:7" x14ac:dyDescent="0.25">
      <c r="A100" s="714" t="s">
        <v>726</v>
      </c>
      <c r="B100" s="714">
        <v>2111248172</v>
      </c>
      <c r="C100" s="715">
        <v>44524</v>
      </c>
      <c r="D100" s="714" t="s">
        <v>775</v>
      </c>
      <c r="E100" s="714">
        <v>0</v>
      </c>
      <c r="F100" s="714">
        <v>1947810.29</v>
      </c>
      <c r="G100" s="714">
        <v>-3049421.65</v>
      </c>
    </row>
    <row r="101" spans="1:7" hidden="1" x14ac:dyDescent="0.25">
      <c r="A101" s="714" t="s">
        <v>726</v>
      </c>
      <c r="B101" s="714">
        <v>2111258622</v>
      </c>
      <c r="C101" s="715">
        <v>44525</v>
      </c>
      <c r="D101" s="714" t="s">
        <v>730</v>
      </c>
      <c r="E101" s="714">
        <v>1677379.21</v>
      </c>
      <c r="G101" s="714">
        <v>-1372042.44</v>
      </c>
    </row>
    <row r="102" spans="1:7" x14ac:dyDescent="0.25">
      <c r="A102" s="714" t="s">
        <v>726</v>
      </c>
      <c r="B102" s="714">
        <v>2111259148</v>
      </c>
      <c r="C102" s="715">
        <v>44525</v>
      </c>
      <c r="D102" s="714" t="s">
        <v>776</v>
      </c>
      <c r="E102" s="714">
        <v>0</v>
      </c>
      <c r="F102" s="714">
        <v>1965589.9</v>
      </c>
      <c r="G102" s="714">
        <v>-3337632.34</v>
      </c>
    </row>
    <row r="103" spans="1:7" x14ac:dyDescent="0.25">
      <c r="A103" s="714" t="s">
        <v>726</v>
      </c>
      <c r="B103" s="714">
        <v>2111260496</v>
      </c>
      <c r="C103" s="715">
        <v>44526</v>
      </c>
      <c r="D103" s="714" t="s">
        <v>777</v>
      </c>
      <c r="E103" s="714">
        <v>0</v>
      </c>
      <c r="F103" s="714">
        <v>1939921.83</v>
      </c>
      <c r="G103" s="714">
        <v>-5277554.17</v>
      </c>
    </row>
    <row r="104" spans="1:7" hidden="1" x14ac:dyDescent="0.25">
      <c r="A104" s="714" t="s">
        <v>726</v>
      </c>
      <c r="B104" s="714">
        <v>2111269489</v>
      </c>
      <c r="C104" s="715">
        <v>44526</v>
      </c>
      <c r="D104" s="714" t="s">
        <v>730</v>
      </c>
      <c r="E104" s="714">
        <v>1692648.76</v>
      </c>
      <c r="G104" s="714">
        <v>-3584905.41</v>
      </c>
    </row>
    <row r="105" spans="1:7" hidden="1" x14ac:dyDescent="0.25">
      <c r="A105" s="714" t="s">
        <v>726</v>
      </c>
      <c r="B105" s="714">
        <v>2111270503</v>
      </c>
      <c r="C105" s="715">
        <v>44527</v>
      </c>
      <c r="D105" s="714" t="s">
        <v>730</v>
      </c>
      <c r="E105" s="714">
        <v>1670640.71</v>
      </c>
      <c r="G105" s="714">
        <v>-1914264.7</v>
      </c>
    </row>
    <row r="106" spans="1:7" x14ac:dyDescent="0.25">
      <c r="A106" s="714" t="s">
        <v>726</v>
      </c>
      <c r="B106" s="714">
        <v>2111270504</v>
      </c>
      <c r="C106" s="715">
        <v>44527</v>
      </c>
      <c r="D106" s="714" t="s">
        <v>778</v>
      </c>
      <c r="E106" s="714">
        <v>0</v>
      </c>
      <c r="F106" s="714">
        <v>1950569.02</v>
      </c>
      <c r="G106" s="714">
        <v>-3864833.72</v>
      </c>
    </row>
    <row r="107" spans="1:7" hidden="1" x14ac:dyDescent="0.25">
      <c r="A107" s="714" t="s">
        <v>726</v>
      </c>
      <c r="B107" s="714">
        <v>2111280515</v>
      </c>
      <c r="C107" s="715">
        <v>44528</v>
      </c>
      <c r="D107" s="714" t="s">
        <v>730</v>
      </c>
      <c r="E107" s="714">
        <v>1679814.87</v>
      </c>
      <c r="G107" s="714">
        <v>-2185018.85</v>
      </c>
    </row>
    <row r="108" spans="1:7" x14ac:dyDescent="0.25">
      <c r="A108" s="714" t="s">
        <v>726</v>
      </c>
      <c r="B108" s="714">
        <v>2111280516</v>
      </c>
      <c r="C108" s="715">
        <v>44528</v>
      </c>
      <c r="D108" s="714" t="s">
        <v>779</v>
      </c>
      <c r="E108" s="714">
        <v>0</v>
      </c>
      <c r="F108" s="714">
        <v>1950568.04</v>
      </c>
      <c r="G108" s="714">
        <v>-4135586.89</v>
      </c>
    </row>
    <row r="109" spans="1:7" hidden="1" x14ac:dyDescent="0.25">
      <c r="A109" s="714" t="s">
        <v>726</v>
      </c>
      <c r="B109" s="714">
        <v>2111291658</v>
      </c>
      <c r="C109" s="715">
        <v>44529</v>
      </c>
      <c r="D109" s="714" t="s">
        <v>734</v>
      </c>
      <c r="E109" s="714">
        <v>1645043</v>
      </c>
      <c r="G109" s="714">
        <v>-2490543.89</v>
      </c>
    </row>
    <row r="110" spans="1:7" hidden="1" x14ac:dyDescent="0.25">
      <c r="A110" s="714" t="s">
        <v>726</v>
      </c>
      <c r="B110" s="714">
        <v>2111291700</v>
      </c>
      <c r="C110" s="715">
        <v>44529</v>
      </c>
      <c r="D110" s="714" t="s">
        <v>730</v>
      </c>
      <c r="E110" s="714">
        <v>1679815.86</v>
      </c>
      <c r="G110" s="714">
        <v>-810728.03</v>
      </c>
    </row>
    <row r="111" spans="1:7" x14ac:dyDescent="0.25">
      <c r="A111" s="714" t="s">
        <v>726</v>
      </c>
      <c r="B111" s="714">
        <v>2111292338</v>
      </c>
      <c r="C111" s="715">
        <v>44529</v>
      </c>
      <c r="D111" s="714" t="s">
        <v>780</v>
      </c>
      <c r="E111" s="714">
        <v>0</v>
      </c>
      <c r="F111" s="714">
        <v>2003989.93</v>
      </c>
      <c r="G111" s="714">
        <v>-2814717.96</v>
      </c>
    </row>
    <row r="112" spans="1:7" x14ac:dyDescent="0.25">
      <c r="A112" s="714" t="s">
        <v>726</v>
      </c>
      <c r="B112" s="714">
        <v>2111303309</v>
      </c>
      <c r="C112" s="715">
        <v>44530</v>
      </c>
      <c r="D112" s="714" t="s">
        <v>781</v>
      </c>
      <c r="E112" s="714">
        <v>0</v>
      </c>
      <c r="F112" s="714">
        <v>1996352.08</v>
      </c>
      <c r="G112" s="714">
        <v>-3085811.16</v>
      </c>
    </row>
    <row r="113" spans="1:7" hidden="1" x14ac:dyDescent="0.25">
      <c r="A113" s="714" t="s">
        <v>726</v>
      </c>
      <c r="B113" s="714">
        <v>2111302791</v>
      </c>
      <c r="C113" s="715">
        <v>44530</v>
      </c>
      <c r="D113" s="714" t="s">
        <v>730</v>
      </c>
      <c r="E113" s="714">
        <v>1725258.88</v>
      </c>
      <c r="G113" s="714">
        <v>-1089459.08</v>
      </c>
    </row>
    <row r="114" spans="1:7" hidden="1" x14ac:dyDescent="0.25">
      <c r="A114" s="714" t="s">
        <v>726</v>
      </c>
      <c r="B114" s="714">
        <v>2112013812</v>
      </c>
      <c r="C114" s="715">
        <v>44531</v>
      </c>
      <c r="D114" s="714" t="s">
        <v>730</v>
      </c>
      <c r="E114" s="714">
        <v>1718778.95</v>
      </c>
      <c r="G114" s="714">
        <v>-1367032.21</v>
      </c>
    </row>
    <row r="115" spans="1:7" x14ac:dyDescent="0.25">
      <c r="A115" s="714" t="s">
        <v>726</v>
      </c>
      <c r="B115" s="714">
        <v>2112014355</v>
      </c>
      <c r="C115" s="715">
        <v>44531</v>
      </c>
      <c r="D115" s="714" t="s">
        <v>782</v>
      </c>
      <c r="E115" s="714">
        <v>0</v>
      </c>
      <c r="F115" s="714">
        <v>1925286.19</v>
      </c>
      <c r="G115" s="714">
        <v>-3292318.4</v>
      </c>
    </row>
    <row r="116" spans="1:7" hidden="1" x14ac:dyDescent="0.25">
      <c r="A116" s="714" t="s">
        <v>726</v>
      </c>
      <c r="B116" s="714">
        <v>2112024943</v>
      </c>
      <c r="C116" s="715">
        <v>44532</v>
      </c>
      <c r="D116" s="714" t="s">
        <v>730</v>
      </c>
      <c r="E116" s="714">
        <v>1658348.12</v>
      </c>
      <c r="G116" s="714">
        <v>-1633970.28</v>
      </c>
    </row>
    <row r="117" spans="1:7" x14ac:dyDescent="0.25">
      <c r="A117" s="714" t="s">
        <v>726</v>
      </c>
      <c r="B117" s="714">
        <v>2112025188</v>
      </c>
      <c r="C117" s="715">
        <v>44532</v>
      </c>
      <c r="D117" s="714" t="s">
        <v>783</v>
      </c>
      <c r="E117" s="714">
        <v>0</v>
      </c>
      <c r="F117" s="714">
        <v>1910311.98</v>
      </c>
      <c r="G117" s="714">
        <v>-3544282.26</v>
      </c>
    </row>
    <row r="118" spans="1:7" hidden="1" x14ac:dyDescent="0.25">
      <c r="A118" s="714" t="s">
        <v>726</v>
      </c>
      <c r="B118" s="714">
        <v>2112035550</v>
      </c>
      <c r="C118" s="715">
        <v>44533</v>
      </c>
      <c r="D118" s="714" t="s">
        <v>730</v>
      </c>
      <c r="E118" s="714">
        <v>1645726.88</v>
      </c>
      <c r="G118" s="714">
        <v>-1898555.38</v>
      </c>
    </row>
    <row r="119" spans="1:7" x14ac:dyDescent="0.25">
      <c r="A119" s="714" t="s">
        <v>726</v>
      </c>
      <c r="B119" s="714">
        <v>2112036162</v>
      </c>
      <c r="C119" s="715">
        <v>44533</v>
      </c>
      <c r="D119" s="714" t="s">
        <v>784</v>
      </c>
      <c r="E119" s="714">
        <v>0</v>
      </c>
      <c r="F119" s="714">
        <v>1956421.61</v>
      </c>
      <c r="G119" s="714">
        <v>-3854976.99</v>
      </c>
    </row>
    <row r="120" spans="1:7" hidden="1" x14ac:dyDescent="0.25">
      <c r="A120" s="714" t="s">
        <v>726</v>
      </c>
      <c r="B120" s="714">
        <v>2112046171</v>
      </c>
      <c r="C120" s="715">
        <v>44534</v>
      </c>
      <c r="D120" s="714" t="s">
        <v>730</v>
      </c>
      <c r="E120" s="714">
        <v>1686985.5</v>
      </c>
      <c r="G120" s="714">
        <v>-2167991.4900000002</v>
      </c>
    </row>
    <row r="121" spans="1:7" x14ac:dyDescent="0.25">
      <c r="A121" s="714" t="s">
        <v>726</v>
      </c>
      <c r="B121" s="714">
        <v>2112046172</v>
      </c>
      <c r="C121" s="715">
        <v>44534</v>
      </c>
      <c r="D121" s="714" t="s">
        <v>785</v>
      </c>
      <c r="E121" s="714">
        <v>0</v>
      </c>
      <c r="F121" s="714">
        <v>1946720.37</v>
      </c>
      <c r="G121" s="714">
        <v>-4114711.86</v>
      </c>
    </row>
    <row r="122" spans="1:7" hidden="1" x14ac:dyDescent="0.25">
      <c r="A122" s="714" t="s">
        <v>726</v>
      </c>
      <c r="B122" s="714">
        <v>2112056183</v>
      </c>
      <c r="C122" s="715">
        <v>44535</v>
      </c>
      <c r="D122" s="714" t="s">
        <v>730</v>
      </c>
      <c r="E122" s="714">
        <v>1678625.25</v>
      </c>
      <c r="G122" s="714">
        <v>-2436086.61</v>
      </c>
    </row>
    <row r="123" spans="1:7" x14ac:dyDescent="0.25">
      <c r="A123" s="714" t="s">
        <v>726</v>
      </c>
      <c r="B123" s="714">
        <v>2112056184</v>
      </c>
      <c r="C123" s="715">
        <v>44535</v>
      </c>
      <c r="D123" s="714" t="s">
        <v>786</v>
      </c>
      <c r="E123" s="714">
        <v>0</v>
      </c>
      <c r="F123" s="714">
        <v>1946720.06</v>
      </c>
      <c r="G123" s="714">
        <v>-4382806.67</v>
      </c>
    </row>
    <row r="124" spans="1:7" hidden="1" x14ac:dyDescent="0.25">
      <c r="A124" s="714" t="s">
        <v>726</v>
      </c>
      <c r="B124" s="714">
        <v>2112067280</v>
      </c>
      <c r="C124" s="715">
        <v>44536</v>
      </c>
      <c r="D124" s="714" t="s">
        <v>730</v>
      </c>
      <c r="E124" s="714">
        <v>1678625.95</v>
      </c>
      <c r="G124" s="714">
        <v>-2704180.72</v>
      </c>
    </row>
    <row r="125" spans="1:7" x14ac:dyDescent="0.25">
      <c r="A125" s="714" t="s">
        <v>726</v>
      </c>
      <c r="B125" s="714">
        <v>2112067810</v>
      </c>
      <c r="C125" s="715">
        <v>44536</v>
      </c>
      <c r="D125" s="714" t="s">
        <v>787</v>
      </c>
      <c r="E125" s="714">
        <v>0</v>
      </c>
      <c r="F125" s="714">
        <v>1916206.19</v>
      </c>
      <c r="G125" s="714">
        <v>-4620386.91</v>
      </c>
    </row>
    <row r="126" spans="1:7" hidden="1" x14ac:dyDescent="0.25">
      <c r="A126" s="714" t="s">
        <v>726</v>
      </c>
      <c r="B126" s="714">
        <v>2112078327</v>
      </c>
      <c r="C126" s="715">
        <v>44537</v>
      </c>
      <c r="D126" s="714" t="s">
        <v>730</v>
      </c>
      <c r="E126" s="714">
        <v>1651623.17</v>
      </c>
      <c r="G126" s="714">
        <v>-2968763.74</v>
      </c>
    </row>
    <row r="127" spans="1:7" x14ac:dyDescent="0.25">
      <c r="A127" s="714" t="s">
        <v>726</v>
      </c>
      <c r="B127" s="714">
        <v>2112078720</v>
      </c>
      <c r="C127" s="715">
        <v>44537</v>
      </c>
      <c r="D127" s="714" t="s">
        <v>788</v>
      </c>
      <c r="E127" s="714">
        <v>0</v>
      </c>
      <c r="F127" s="714">
        <v>2052047.81</v>
      </c>
      <c r="G127" s="714">
        <v>-5020811.55</v>
      </c>
    </row>
    <row r="128" spans="1:7" hidden="1" x14ac:dyDescent="0.25">
      <c r="A128" s="714" t="s">
        <v>726</v>
      </c>
      <c r="B128" s="714">
        <v>2112088958</v>
      </c>
      <c r="C128" s="715">
        <v>44538</v>
      </c>
      <c r="D128" s="714" t="s">
        <v>730</v>
      </c>
      <c r="E128" s="714">
        <v>1768860.65</v>
      </c>
      <c r="G128" s="714">
        <v>-3251950.9</v>
      </c>
    </row>
    <row r="129" spans="1:7" x14ac:dyDescent="0.25">
      <c r="A129" s="714" t="s">
        <v>726</v>
      </c>
      <c r="B129" s="714">
        <v>2112089464</v>
      </c>
      <c r="C129" s="715">
        <v>44538</v>
      </c>
      <c r="D129" s="714" t="s">
        <v>789</v>
      </c>
      <c r="E129" s="714">
        <v>0</v>
      </c>
      <c r="F129" s="714">
        <v>2068548.18</v>
      </c>
      <c r="G129" s="714">
        <v>-5320499.08</v>
      </c>
    </row>
    <row r="130" spans="1:7" x14ac:dyDescent="0.25">
      <c r="A130" s="714" t="s">
        <v>726</v>
      </c>
      <c r="B130" s="714">
        <v>2112090384</v>
      </c>
      <c r="C130" s="715">
        <v>44539</v>
      </c>
      <c r="D130" s="714" t="s">
        <v>790</v>
      </c>
      <c r="E130" s="714">
        <v>0</v>
      </c>
      <c r="F130" s="714">
        <v>2070441.88</v>
      </c>
      <c r="G130" s="714">
        <v>-7390940.96</v>
      </c>
    </row>
    <row r="131" spans="1:7" hidden="1" x14ac:dyDescent="0.25">
      <c r="A131" s="714" t="s">
        <v>726</v>
      </c>
      <c r="B131" s="714">
        <v>2112099860</v>
      </c>
      <c r="C131" s="715">
        <v>44539</v>
      </c>
      <c r="D131" s="714" t="s">
        <v>730</v>
      </c>
      <c r="E131" s="714">
        <v>1783063.05</v>
      </c>
      <c r="G131" s="714">
        <v>-5607877.9100000001</v>
      </c>
    </row>
    <row r="132" spans="1:7" hidden="1" x14ac:dyDescent="0.25">
      <c r="A132" s="714" t="s">
        <v>726</v>
      </c>
      <c r="B132" s="714">
        <v>2112100385</v>
      </c>
      <c r="C132" s="715">
        <v>44540</v>
      </c>
      <c r="D132" s="714" t="s">
        <v>734</v>
      </c>
      <c r="E132" s="714">
        <v>1898614</v>
      </c>
      <c r="G132" s="714">
        <v>-3709263.91</v>
      </c>
    </row>
    <row r="133" spans="1:7" hidden="1" x14ac:dyDescent="0.25">
      <c r="A133" s="714" t="s">
        <v>726</v>
      </c>
      <c r="B133" s="714">
        <v>2112100484</v>
      </c>
      <c r="C133" s="715">
        <v>44540</v>
      </c>
      <c r="D133" s="714" t="s">
        <v>734</v>
      </c>
      <c r="E133" s="714">
        <v>1924628</v>
      </c>
      <c r="G133" s="714">
        <v>-1784635.91</v>
      </c>
    </row>
    <row r="134" spans="1:7" x14ac:dyDescent="0.25">
      <c r="A134" s="714" t="s">
        <v>726</v>
      </c>
      <c r="B134" s="714">
        <v>2112101292</v>
      </c>
      <c r="C134" s="715">
        <v>44540</v>
      </c>
      <c r="D134" s="714" t="s">
        <v>791</v>
      </c>
      <c r="E134" s="714">
        <v>0</v>
      </c>
      <c r="F134" s="714">
        <v>2052949.76</v>
      </c>
      <c r="G134" s="714">
        <v>-2052891.96</v>
      </c>
    </row>
    <row r="135" spans="1:7" hidden="1" x14ac:dyDescent="0.25">
      <c r="A135" s="714" t="s">
        <v>726</v>
      </c>
      <c r="B135" s="714">
        <v>2112101149</v>
      </c>
      <c r="C135" s="715">
        <v>44540</v>
      </c>
      <c r="D135" s="714" t="s">
        <v>730</v>
      </c>
      <c r="E135" s="714">
        <v>1784693.71</v>
      </c>
      <c r="G135" s="714">
        <v>57.8</v>
      </c>
    </row>
    <row r="136" spans="1:7" hidden="1" x14ac:dyDescent="0.25">
      <c r="A136" s="714" t="s">
        <v>726</v>
      </c>
      <c r="B136" s="714">
        <v>2112111299</v>
      </c>
      <c r="C136" s="715">
        <v>44541</v>
      </c>
      <c r="D136" s="714" t="s">
        <v>730</v>
      </c>
      <c r="E136" s="714">
        <v>1769616.63</v>
      </c>
      <c r="G136" s="714">
        <v>-283275.33</v>
      </c>
    </row>
    <row r="137" spans="1:7" x14ac:dyDescent="0.25">
      <c r="A137" s="714" t="s">
        <v>726</v>
      </c>
      <c r="B137" s="714">
        <v>2112111300</v>
      </c>
      <c r="C137" s="715">
        <v>44541</v>
      </c>
      <c r="D137" s="714" t="s">
        <v>792</v>
      </c>
      <c r="E137" s="714">
        <v>0</v>
      </c>
      <c r="F137" s="714">
        <v>2051390.08</v>
      </c>
      <c r="G137" s="714">
        <v>-2334665.41</v>
      </c>
    </row>
    <row r="138" spans="1:7" hidden="1" x14ac:dyDescent="0.25">
      <c r="A138" s="714" t="s">
        <v>726</v>
      </c>
      <c r="B138" s="714">
        <v>2112121307</v>
      </c>
      <c r="C138" s="715">
        <v>44542</v>
      </c>
      <c r="D138" s="714" t="s">
        <v>730</v>
      </c>
      <c r="E138" s="714">
        <v>1768272.96</v>
      </c>
      <c r="G138" s="714">
        <v>-566392.44999999995</v>
      </c>
    </row>
    <row r="139" spans="1:7" x14ac:dyDescent="0.25">
      <c r="A139" s="714" t="s">
        <v>726</v>
      </c>
      <c r="B139" s="714">
        <v>2112121308</v>
      </c>
      <c r="C139" s="715">
        <v>44542</v>
      </c>
      <c r="D139" s="714" t="s">
        <v>793</v>
      </c>
      <c r="E139" s="714">
        <v>0</v>
      </c>
      <c r="F139" s="714">
        <v>2051390.08</v>
      </c>
      <c r="G139" s="714">
        <v>-2617782.5299999998</v>
      </c>
    </row>
    <row r="140" spans="1:7" hidden="1" x14ac:dyDescent="0.25">
      <c r="A140" s="714" t="s">
        <v>726</v>
      </c>
      <c r="B140" s="714">
        <v>2112132450</v>
      </c>
      <c r="C140" s="715">
        <v>44543</v>
      </c>
      <c r="D140" s="714" t="s">
        <v>730</v>
      </c>
      <c r="E140" s="714">
        <v>1768275</v>
      </c>
      <c r="G140" s="714">
        <v>-849507.53</v>
      </c>
    </row>
    <row r="141" spans="1:7" x14ac:dyDescent="0.25">
      <c r="A141" s="714" t="s">
        <v>726</v>
      </c>
      <c r="B141" s="714">
        <v>2112133040</v>
      </c>
      <c r="C141" s="715">
        <v>44543</v>
      </c>
      <c r="D141" s="714" t="s">
        <v>794</v>
      </c>
      <c r="E141" s="714">
        <v>0</v>
      </c>
      <c r="F141" s="714">
        <v>2289803.14</v>
      </c>
      <c r="G141" s="714">
        <v>-3139310.67</v>
      </c>
    </row>
    <row r="142" spans="1:7" hidden="1" x14ac:dyDescent="0.25">
      <c r="A142" s="714" t="s">
        <v>726</v>
      </c>
      <c r="B142" s="714">
        <v>2112143466</v>
      </c>
      <c r="C142" s="715">
        <v>44544</v>
      </c>
      <c r="D142" s="714" t="s">
        <v>730</v>
      </c>
      <c r="E142" s="714">
        <v>1973912.97</v>
      </c>
      <c r="G142" s="714">
        <v>-1165397.7</v>
      </c>
    </row>
    <row r="143" spans="1:7" x14ac:dyDescent="0.25">
      <c r="A143" s="714" t="s">
        <v>726</v>
      </c>
      <c r="B143" s="714">
        <v>2112143961</v>
      </c>
      <c r="C143" s="715">
        <v>44544</v>
      </c>
      <c r="D143" s="714" t="s">
        <v>795</v>
      </c>
      <c r="E143" s="714">
        <v>0</v>
      </c>
      <c r="F143" s="714">
        <v>2349086.7000000002</v>
      </c>
      <c r="G143" s="714">
        <v>-3514484.4</v>
      </c>
    </row>
    <row r="144" spans="1:7" hidden="1" x14ac:dyDescent="0.25">
      <c r="A144" s="714" t="s">
        <v>726</v>
      </c>
      <c r="B144" s="714">
        <v>2112154156</v>
      </c>
      <c r="C144" s="715">
        <v>44545</v>
      </c>
      <c r="D144" s="714" t="s">
        <v>730</v>
      </c>
      <c r="E144" s="714">
        <v>2034572.63</v>
      </c>
      <c r="G144" s="714">
        <v>-1479911.77</v>
      </c>
    </row>
    <row r="145" spans="1:7" x14ac:dyDescent="0.25">
      <c r="A145" s="714" t="s">
        <v>726</v>
      </c>
      <c r="B145" s="714">
        <v>2112154784</v>
      </c>
      <c r="C145" s="715">
        <v>44545</v>
      </c>
      <c r="D145" s="714" t="s">
        <v>796</v>
      </c>
      <c r="E145" s="714">
        <v>0</v>
      </c>
      <c r="F145" s="714">
        <v>2642008.2799999998</v>
      </c>
      <c r="G145" s="714">
        <v>-4121920.05</v>
      </c>
    </row>
    <row r="146" spans="1:7" hidden="1" x14ac:dyDescent="0.25">
      <c r="A146" s="714" t="s">
        <v>726</v>
      </c>
      <c r="B146" s="714">
        <v>2112165092</v>
      </c>
      <c r="C146" s="715">
        <v>44546</v>
      </c>
      <c r="D146" s="714" t="s">
        <v>730</v>
      </c>
      <c r="E146" s="714">
        <v>2288148.21</v>
      </c>
      <c r="G146" s="714">
        <v>-1833771.84</v>
      </c>
    </row>
    <row r="147" spans="1:7" x14ac:dyDescent="0.25">
      <c r="A147" s="714" t="s">
        <v>726</v>
      </c>
      <c r="B147" s="714">
        <v>2112165708</v>
      </c>
      <c r="C147" s="715">
        <v>44546</v>
      </c>
      <c r="D147" s="714" t="s">
        <v>797</v>
      </c>
      <c r="E147" s="714">
        <v>0</v>
      </c>
      <c r="F147" s="714">
        <v>2699707.7</v>
      </c>
      <c r="G147" s="714">
        <v>-4533479.54</v>
      </c>
    </row>
    <row r="148" spans="1:7" hidden="1" x14ac:dyDescent="0.25">
      <c r="A148" s="714" t="s">
        <v>726</v>
      </c>
      <c r="B148" s="714">
        <v>2112175836</v>
      </c>
      <c r="C148" s="715">
        <v>44547</v>
      </c>
      <c r="D148" s="714" t="s">
        <v>734</v>
      </c>
      <c r="E148" s="714">
        <v>2196064</v>
      </c>
      <c r="G148" s="714">
        <v>-2337415.54</v>
      </c>
    </row>
    <row r="149" spans="1:7" hidden="1" x14ac:dyDescent="0.25">
      <c r="A149" s="714" t="s">
        <v>726</v>
      </c>
      <c r="B149" s="714">
        <v>2112176467</v>
      </c>
      <c r="C149" s="715">
        <v>44547</v>
      </c>
      <c r="D149" s="714" t="s">
        <v>730</v>
      </c>
      <c r="E149" s="714">
        <v>2337472.4900000002</v>
      </c>
      <c r="G149" s="714">
        <v>56.95</v>
      </c>
    </row>
    <row r="150" spans="1:7" x14ac:dyDescent="0.25">
      <c r="A150" s="714" t="s">
        <v>726</v>
      </c>
      <c r="B150" s="714">
        <v>2112176708</v>
      </c>
      <c r="C150" s="715">
        <v>44547</v>
      </c>
      <c r="D150" s="714" t="s">
        <v>798</v>
      </c>
      <c r="E150" s="714">
        <v>0</v>
      </c>
      <c r="F150" s="714">
        <v>2804663.45</v>
      </c>
      <c r="G150" s="714">
        <v>-2804606.5</v>
      </c>
    </row>
    <row r="151" spans="1:7" hidden="1" x14ac:dyDescent="0.25">
      <c r="A151" s="714" t="s">
        <v>726</v>
      </c>
      <c r="B151" s="714">
        <v>2112186731</v>
      </c>
      <c r="C151" s="715">
        <v>44548</v>
      </c>
      <c r="D151" s="714" t="s">
        <v>730</v>
      </c>
      <c r="E151" s="714">
        <v>2425578.4300000002</v>
      </c>
      <c r="G151" s="714">
        <v>-379028.07</v>
      </c>
    </row>
    <row r="152" spans="1:7" x14ac:dyDescent="0.25">
      <c r="A152" s="714" t="s">
        <v>726</v>
      </c>
      <c r="B152" s="714">
        <v>2112186732</v>
      </c>
      <c r="C152" s="715">
        <v>44548</v>
      </c>
      <c r="D152" s="714" t="s">
        <v>799</v>
      </c>
      <c r="E152" s="714">
        <v>0</v>
      </c>
      <c r="F152" s="714">
        <v>2806307.97</v>
      </c>
      <c r="G152" s="714">
        <v>-3185336.04</v>
      </c>
    </row>
    <row r="153" spans="1:7" hidden="1" x14ac:dyDescent="0.25">
      <c r="A153" s="714" t="s">
        <v>726</v>
      </c>
      <c r="B153" s="714">
        <v>2112196737</v>
      </c>
      <c r="C153" s="715">
        <v>44549</v>
      </c>
      <c r="D153" s="714" t="s">
        <v>730</v>
      </c>
      <c r="E153" s="714">
        <v>2426998.91</v>
      </c>
      <c r="G153" s="714">
        <v>-758337.13</v>
      </c>
    </row>
    <row r="154" spans="1:7" x14ac:dyDescent="0.25">
      <c r="A154" s="714" t="s">
        <v>726</v>
      </c>
      <c r="B154" s="714">
        <v>2112196738</v>
      </c>
      <c r="C154" s="715">
        <v>44549</v>
      </c>
      <c r="D154" s="714" t="s">
        <v>800</v>
      </c>
      <c r="E154" s="714">
        <v>0</v>
      </c>
      <c r="F154" s="714">
        <v>2934028.5</v>
      </c>
      <c r="G154" s="714">
        <v>-3692365.63</v>
      </c>
    </row>
    <row r="155" spans="1:7" hidden="1" x14ac:dyDescent="0.25">
      <c r="A155" s="714" t="s">
        <v>726</v>
      </c>
      <c r="B155" s="714">
        <v>2112208065</v>
      </c>
      <c r="C155" s="715">
        <v>44550</v>
      </c>
      <c r="D155" s="714" t="s">
        <v>730</v>
      </c>
      <c r="E155" s="714">
        <v>2537458.39</v>
      </c>
      <c r="G155" s="714">
        <v>-1154907.24</v>
      </c>
    </row>
    <row r="156" spans="1:7" x14ac:dyDescent="0.25">
      <c r="A156" s="714" t="s">
        <v>726</v>
      </c>
      <c r="B156" s="714">
        <v>2112208368</v>
      </c>
      <c r="C156" s="715">
        <v>44550</v>
      </c>
      <c r="D156" s="714" t="s">
        <v>801</v>
      </c>
      <c r="E156" s="714">
        <v>0</v>
      </c>
      <c r="F156" s="714">
        <v>3107330.24</v>
      </c>
      <c r="G156" s="714">
        <v>-4262237.4800000004</v>
      </c>
    </row>
    <row r="157" spans="1:7" hidden="1" x14ac:dyDescent="0.25">
      <c r="A157" s="714" t="s">
        <v>726</v>
      </c>
      <c r="B157" s="714">
        <v>2112219259</v>
      </c>
      <c r="C157" s="715">
        <v>44551</v>
      </c>
      <c r="D157" s="714" t="s">
        <v>730</v>
      </c>
      <c r="E157" s="714">
        <v>2685039.16</v>
      </c>
      <c r="G157" s="714">
        <v>-1577198.32</v>
      </c>
    </row>
    <row r="158" spans="1:7" x14ac:dyDescent="0.25">
      <c r="A158" s="714" t="s">
        <v>726</v>
      </c>
      <c r="B158" s="714">
        <v>2112219260</v>
      </c>
      <c r="C158" s="715">
        <v>44551</v>
      </c>
      <c r="D158" s="714" t="s">
        <v>802</v>
      </c>
      <c r="E158" s="714">
        <v>0</v>
      </c>
      <c r="F158" s="714">
        <v>3828055.41</v>
      </c>
      <c r="G158" s="714">
        <v>-5405253.7300000004</v>
      </c>
    </row>
    <row r="159" spans="1:7" hidden="1" x14ac:dyDescent="0.25">
      <c r="A159" s="714" t="s">
        <v>726</v>
      </c>
      <c r="B159" s="714">
        <v>2112220168</v>
      </c>
      <c r="C159" s="715">
        <v>44552</v>
      </c>
      <c r="D159" s="714" t="s">
        <v>730</v>
      </c>
      <c r="E159" s="714">
        <v>3297309.26</v>
      </c>
      <c r="G159" s="714">
        <v>-2107944.4700000002</v>
      </c>
    </row>
    <row r="160" spans="1:7" x14ac:dyDescent="0.25">
      <c r="A160" s="714" t="s">
        <v>726</v>
      </c>
      <c r="B160" s="714">
        <v>2112220169</v>
      </c>
      <c r="C160" s="715">
        <v>44552</v>
      </c>
      <c r="D160" s="714" t="s">
        <v>803</v>
      </c>
      <c r="E160" s="714">
        <v>0</v>
      </c>
      <c r="F160" s="714">
        <v>3872063</v>
      </c>
      <c r="G160" s="714">
        <v>-5980007.4699999997</v>
      </c>
    </row>
    <row r="161" spans="1:7" hidden="1" x14ac:dyDescent="0.25">
      <c r="A161" s="714" t="s">
        <v>726</v>
      </c>
      <c r="B161" s="714">
        <v>2112231202</v>
      </c>
      <c r="C161" s="715">
        <v>44553</v>
      </c>
      <c r="D161" s="714" t="s">
        <v>730</v>
      </c>
      <c r="E161" s="714">
        <v>3334790.94</v>
      </c>
      <c r="G161" s="714">
        <v>-2645216.5299999998</v>
      </c>
    </row>
    <row r="162" spans="1:7" x14ac:dyDescent="0.25">
      <c r="A162" s="714" t="s">
        <v>726</v>
      </c>
      <c r="B162" s="714">
        <v>2112231203</v>
      </c>
      <c r="C162" s="715">
        <v>44553</v>
      </c>
      <c r="D162" s="714" t="s">
        <v>804</v>
      </c>
      <c r="E162" s="714">
        <v>0</v>
      </c>
      <c r="F162" s="714">
        <v>4070234.41</v>
      </c>
      <c r="G162" s="714">
        <v>-6715450.9400000004</v>
      </c>
    </row>
    <row r="163" spans="1:7" hidden="1" x14ac:dyDescent="0.25">
      <c r="A163" s="714" t="s">
        <v>726</v>
      </c>
      <c r="B163" s="714">
        <v>2112241674</v>
      </c>
      <c r="C163" s="715">
        <v>44554</v>
      </c>
      <c r="D163" s="714" t="s">
        <v>730</v>
      </c>
      <c r="E163" s="714">
        <v>3509660.3</v>
      </c>
      <c r="G163" s="714">
        <v>-3205790.64</v>
      </c>
    </row>
    <row r="164" spans="1:7" x14ac:dyDescent="0.25">
      <c r="A164" s="714" t="s">
        <v>726</v>
      </c>
      <c r="B164" s="714">
        <v>2112242310</v>
      </c>
      <c r="C164" s="715">
        <v>44554</v>
      </c>
      <c r="D164" s="714" t="s">
        <v>805</v>
      </c>
      <c r="E164" s="714">
        <v>0</v>
      </c>
      <c r="F164" s="714">
        <v>4118014.98</v>
      </c>
      <c r="G164" s="714">
        <v>-7323805.6200000001</v>
      </c>
    </row>
    <row r="165" spans="1:7" hidden="1" x14ac:dyDescent="0.25">
      <c r="A165" s="714" t="s">
        <v>726</v>
      </c>
      <c r="B165" s="714">
        <v>2112252319</v>
      </c>
      <c r="C165" s="715">
        <v>44555</v>
      </c>
      <c r="D165" s="714" t="s">
        <v>730</v>
      </c>
      <c r="E165" s="714">
        <v>3550064.86</v>
      </c>
      <c r="G165" s="714">
        <v>-3773740.76</v>
      </c>
    </row>
    <row r="166" spans="1:7" x14ac:dyDescent="0.25">
      <c r="A166" s="714" t="s">
        <v>726</v>
      </c>
      <c r="B166" s="714">
        <v>2112252320</v>
      </c>
      <c r="C166" s="715">
        <v>44555</v>
      </c>
      <c r="D166" s="714" t="s">
        <v>806</v>
      </c>
      <c r="E166" s="714">
        <v>0</v>
      </c>
      <c r="F166" s="714">
        <v>4120942.06</v>
      </c>
      <c r="G166" s="714">
        <v>-7894682.8200000003</v>
      </c>
    </row>
    <row r="167" spans="1:7" hidden="1" x14ac:dyDescent="0.25">
      <c r="A167" s="714" t="s">
        <v>726</v>
      </c>
      <c r="B167" s="714">
        <v>2112262335</v>
      </c>
      <c r="C167" s="715">
        <v>44556</v>
      </c>
      <c r="D167" s="714" t="s">
        <v>730</v>
      </c>
      <c r="E167" s="714">
        <v>3552583.95</v>
      </c>
      <c r="G167" s="714">
        <v>-4342098.87</v>
      </c>
    </row>
    <row r="168" spans="1:7" x14ac:dyDescent="0.25">
      <c r="A168" s="714" t="s">
        <v>726</v>
      </c>
      <c r="B168" s="714">
        <v>2112262336</v>
      </c>
      <c r="C168" s="715">
        <v>44556</v>
      </c>
      <c r="D168" s="714" t="s">
        <v>807</v>
      </c>
      <c r="E168" s="714">
        <v>0</v>
      </c>
      <c r="F168" s="714">
        <v>4120938.02</v>
      </c>
      <c r="G168" s="714">
        <v>-8463036.8900000006</v>
      </c>
    </row>
    <row r="169" spans="1:7" hidden="1" x14ac:dyDescent="0.25">
      <c r="A169" s="714" t="s">
        <v>726</v>
      </c>
      <c r="B169" s="714">
        <v>2112273570</v>
      </c>
      <c r="C169" s="715">
        <v>44557</v>
      </c>
      <c r="D169" s="714" t="s">
        <v>734</v>
      </c>
      <c r="E169" s="714">
        <v>3205847</v>
      </c>
      <c r="G169" s="714">
        <v>-5257189.8899999997</v>
      </c>
    </row>
    <row r="170" spans="1:7" hidden="1" x14ac:dyDescent="0.25">
      <c r="A170" s="714" t="s">
        <v>726</v>
      </c>
      <c r="B170" s="714">
        <v>2112274187</v>
      </c>
      <c r="C170" s="715">
        <v>44557</v>
      </c>
      <c r="D170" s="714" t="s">
        <v>730</v>
      </c>
      <c r="E170" s="714">
        <v>3552583.95</v>
      </c>
      <c r="G170" s="714">
        <v>-1704605.94</v>
      </c>
    </row>
    <row r="171" spans="1:7" x14ac:dyDescent="0.25">
      <c r="A171" s="714" t="s">
        <v>726</v>
      </c>
      <c r="B171" s="714">
        <v>2112274268</v>
      </c>
      <c r="C171" s="715">
        <v>44557</v>
      </c>
      <c r="D171" s="714" t="s">
        <v>808</v>
      </c>
      <c r="E171" s="714">
        <v>0</v>
      </c>
      <c r="F171" s="714">
        <v>4088309.45</v>
      </c>
      <c r="G171" s="714">
        <v>-5792915.3899999997</v>
      </c>
    </row>
    <row r="172" spans="1:7" hidden="1" x14ac:dyDescent="0.25">
      <c r="A172" s="714" t="s">
        <v>726</v>
      </c>
      <c r="B172" s="714">
        <v>2112285234</v>
      </c>
      <c r="C172" s="715">
        <v>44558</v>
      </c>
      <c r="D172" s="714" t="s">
        <v>730</v>
      </c>
      <c r="E172" s="714">
        <v>3511094.42</v>
      </c>
      <c r="G172" s="714">
        <v>-2281820.9700000002</v>
      </c>
    </row>
    <row r="173" spans="1:7" x14ac:dyDescent="0.25">
      <c r="A173" s="714" t="s">
        <v>726</v>
      </c>
      <c r="B173" s="714">
        <v>2112285288</v>
      </c>
      <c r="C173" s="715">
        <v>44558</v>
      </c>
      <c r="D173" s="714" t="s">
        <v>809</v>
      </c>
      <c r="E173" s="714">
        <v>0</v>
      </c>
      <c r="F173" s="714">
        <v>4186608.4</v>
      </c>
      <c r="G173" s="714">
        <v>-6468429.3700000001</v>
      </c>
    </row>
    <row r="174" spans="1:7" hidden="1" x14ac:dyDescent="0.25">
      <c r="A174" s="714" t="s">
        <v>726</v>
      </c>
      <c r="B174" s="714">
        <v>2112295589</v>
      </c>
      <c r="C174" s="715">
        <v>44559</v>
      </c>
      <c r="D174" s="714" t="s">
        <v>730</v>
      </c>
      <c r="E174" s="714">
        <v>3594862.3</v>
      </c>
      <c r="G174" s="714">
        <v>-2873567.07</v>
      </c>
    </row>
    <row r="175" spans="1:7" x14ac:dyDescent="0.25">
      <c r="A175" s="714" t="s">
        <v>726</v>
      </c>
      <c r="B175" s="714">
        <v>2112296268</v>
      </c>
      <c r="C175" s="715">
        <v>44559</v>
      </c>
      <c r="D175" s="714" t="s">
        <v>810</v>
      </c>
      <c r="E175" s="714">
        <v>0</v>
      </c>
      <c r="F175" s="714">
        <v>4386261.53</v>
      </c>
      <c r="G175" s="714">
        <v>-7259828.5999999996</v>
      </c>
    </row>
    <row r="176" spans="1:7" hidden="1" x14ac:dyDescent="0.25">
      <c r="A176" s="714" t="s">
        <v>726</v>
      </c>
      <c r="B176" s="714">
        <v>2112307260</v>
      </c>
      <c r="C176" s="715">
        <v>44560</v>
      </c>
      <c r="D176" s="714" t="s">
        <v>730</v>
      </c>
      <c r="E176" s="714">
        <v>3775751.46</v>
      </c>
      <c r="G176" s="714">
        <v>-3484077.14</v>
      </c>
    </row>
    <row r="177" spans="1:7" x14ac:dyDescent="0.25">
      <c r="A177" s="714" t="s">
        <v>726</v>
      </c>
      <c r="B177" s="714">
        <v>2112307292</v>
      </c>
      <c r="C177" s="715">
        <v>44560</v>
      </c>
      <c r="D177" s="714" t="s">
        <v>811</v>
      </c>
      <c r="E177" s="714">
        <v>0</v>
      </c>
      <c r="F177" s="714">
        <v>4522841.9000000004</v>
      </c>
      <c r="G177" s="714">
        <v>-8006919.04</v>
      </c>
    </row>
    <row r="178" spans="1:7" hidden="1" x14ac:dyDescent="0.25">
      <c r="A178" s="714" t="s">
        <v>726</v>
      </c>
      <c r="B178" s="714">
        <v>2112317634</v>
      </c>
      <c r="C178" s="715">
        <v>44561</v>
      </c>
      <c r="D178" s="714" t="s">
        <v>734</v>
      </c>
      <c r="E178" s="714">
        <v>4113945</v>
      </c>
      <c r="G178" s="714">
        <v>-3892974.04</v>
      </c>
    </row>
    <row r="179" spans="1:7" hidden="1" x14ac:dyDescent="0.25">
      <c r="A179" s="714" t="s">
        <v>726</v>
      </c>
      <c r="B179" s="714">
        <v>2112318322</v>
      </c>
      <c r="C179" s="715">
        <v>44561</v>
      </c>
      <c r="D179" s="714" t="s">
        <v>730</v>
      </c>
      <c r="E179" s="714">
        <v>3893029.72</v>
      </c>
      <c r="G179" s="714">
        <v>55.68</v>
      </c>
    </row>
    <row r="180" spans="1:7" x14ac:dyDescent="0.25">
      <c r="A180" s="714" t="s">
        <v>726</v>
      </c>
      <c r="B180" s="714">
        <v>2112318779</v>
      </c>
      <c r="C180" s="715">
        <v>44561</v>
      </c>
      <c r="D180" s="714" t="s">
        <v>812</v>
      </c>
      <c r="E180" s="714">
        <v>0</v>
      </c>
      <c r="F180" s="714">
        <v>5783562.1900000004</v>
      </c>
      <c r="G180" s="714">
        <v>-5783506.5099999998</v>
      </c>
    </row>
    <row r="181" spans="1:7" x14ac:dyDescent="0.25">
      <c r="A181" s="714" t="s">
        <v>726</v>
      </c>
      <c r="B181" s="714">
        <v>2201018804</v>
      </c>
      <c r="C181" s="715">
        <v>44562</v>
      </c>
      <c r="D181" s="714" t="s">
        <v>813</v>
      </c>
      <c r="E181" s="714">
        <v>0</v>
      </c>
      <c r="F181" s="714">
        <v>4680285.13</v>
      </c>
      <c r="G181" s="714">
        <v>-5460806.6399999997</v>
      </c>
    </row>
    <row r="182" spans="1:7" hidden="1" x14ac:dyDescent="0.25">
      <c r="A182" s="714" t="s">
        <v>726</v>
      </c>
      <c r="B182" s="714">
        <v>2201018803</v>
      </c>
      <c r="C182" s="715">
        <v>44562</v>
      </c>
      <c r="D182" s="714" t="s">
        <v>730</v>
      </c>
      <c r="E182" s="714">
        <v>5002985</v>
      </c>
      <c r="G182" s="714">
        <v>-780521.51</v>
      </c>
    </row>
    <row r="183" spans="1:7" hidden="1" x14ac:dyDescent="0.25">
      <c r="A183" s="714" t="s">
        <v>726</v>
      </c>
      <c r="B183" s="714">
        <v>2201028827</v>
      </c>
      <c r="C183" s="715">
        <v>44563</v>
      </c>
      <c r="D183" s="714" t="s">
        <v>730</v>
      </c>
      <c r="E183" s="714">
        <v>4048612.01</v>
      </c>
      <c r="G183" s="714">
        <v>-1412194.63</v>
      </c>
    </row>
    <row r="184" spans="1:7" x14ac:dyDescent="0.25">
      <c r="A184" s="714" t="s">
        <v>726</v>
      </c>
      <c r="B184" s="714">
        <v>2201028828</v>
      </c>
      <c r="C184" s="715">
        <v>44563</v>
      </c>
      <c r="D184" s="714" t="s">
        <v>814</v>
      </c>
      <c r="E184" s="714">
        <v>0</v>
      </c>
      <c r="F184" s="714">
        <v>4680104.05</v>
      </c>
      <c r="G184" s="714">
        <v>-6092298.6799999997</v>
      </c>
    </row>
    <row r="185" spans="1:7" hidden="1" x14ac:dyDescent="0.25">
      <c r="A185" s="714" t="s">
        <v>726</v>
      </c>
      <c r="B185" s="714">
        <v>2201030240</v>
      </c>
      <c r="C185" s="715">
        <v>44564</v>
      </c>
      <c r="D185" s="714" t="s">
        <v>730</v>
      </c>
      <c r="E185" s="714">
        <v>4048459.95</v>
      </c>
      <c r="G185" s="714">
        <v>-2043838.73</v>
      </c>
    </row>
    <row r="186" spans="1:7" x14ac:dyDescent="0.25">
      <c r="A186" s="714" t="s">
        <v>726</v>
      </c>
      <c r="B186" s="714">
        <v>2201030241</v>
      </c>
      <c r="C186" s="715">
        <v>44564</v>
      </c>
      <c r="D186" s="714" t="s">
        <v>815</v>
      </c>
      <c r="E186" s="714">
        <v>0</v>
      </c>
      <c r="F186" s="714">
        <v>4680102.68</v>
      </c>
      <c r="G186" s="714">
        <v>-6723941.4100000001</v>
      </c>
    </row>
    <row r="187" spans="1:7" hidden="1" x14ac:dyDescent="0.25">
      <c r="A187" s="714" t="s">
        <v>726</v>
      </c>
      <c r="B187" s="714">
        <v>2201041117</v>
      </c>
      <c r="C187" s="715">
        <v>44565</v>
      </c>
      <c r="D187" s="714" t="s">
        <v>730</v>
      </c>
      <c r="E187" s="714">
        <v>4048552.55</v>
      </c>
      <c r="G187" s="714">
        <v>-2675388.86</v>
      </c>
    </row>
    <row r="188" spans="1:7" x14ac:dyDescent="0.25">
      <c r="A188" s="714" t="s">
        <v>726</v>
      </c>
      <c r="B188" s="714">
        <v>2201041218</v>
      </c>
      <c r="C188" s="715">
        <v>44565</v>
      </c>
      <c r="D188" s="714" t="s">
        <v>816</v>
      </c>
      <c r="E188" s="714">
        <v>0</v>
      </c>
      <c r="F188" s="714">
        <v>4340519.46</v>
      </c>
      <c r="G188" s="714">
        <v>-7015908.3200000003</v>
      </c>
    </row>
    <row r="189" spans="1:7" hidden="1" x14ac:dyDescent="0.25">
      <c r="A189" s="714" t="s">
        <v>726</v>
      </c>
      <c r="B189" s="714">
        <v>2201051656</v>
      </c>
      <c r="C189" s="715">
        <v>44566</v>
      </c>
      <c r="D189" s="714" t="s">
        <v>730</v>
      </c>
      <c r="E189" s="714">
        <v>3756108.34</v>
      </c>
      <c r="G189" s="714">
        <v>-3259799.98</v>
      </c>
    </row>
    <row r="190" spans="1:7" x14ac:dyDescent="0.25">
      <c r="A190" s="714" t="s">
        <v>726</v>
      </c>
      <c r="B190" s="714">
        <v>2201052236</v>
      </c>
      <c r="C190" s="715">
        <v>44566</v>
      </c>
      <c r="D190" s="714" t="s">
        <v>817</v>
      </c>
      <c r="E190" s="714">
        <v>0</v>
      </c>
      <c r="F190" s="714">
        <v>3677621.34</v>
      </c>
      <c r="G190" s="714">
        <v>-6937421.3200000003</v>
      </c>
    </row>
    <row r="191" spans="1:7" hidden="1" x14ac:dyDescent="0.25">
      <c r="A191" s="714" t="s">
        <v>726</v>
      </c>
      <c r="B191" s="714">
        <v>2201063048</v>
      </c>
      <c r="C191" s="715">
        <v>44567</v>
      </c>
      <c r="D191" s="714" t="s">
        <v>730</v>
      </c>
      <c r="E191" s="714">
        <v>3185605.26</v>
      </c>
      <c r="G191" s="714">
        <v>-3751816.06</v>
      </c>
    </row>
    <row r="192" spans="1:7" x14ac:dyDescent="0.25">
      <c r="A192" s="714" t="s">
        <v>726</v>
      </c>
      <c r="B192" s="714">
        <v>2201063132</v>
      </c>
      <c r="C192" s="715">
        <v>44567</v>
      </c>
      <c r="D192" s="714" t="s">
        <v>818</v>
      </c>
      <c r="E192" s="714">
        <v>0</v>
      </c>
      <c r="F192" s="714">
        <v>3506227.98</v>
      </c>
      <c r="G192" s="714">
        <v>-7258044.04</v>
      </c>
    </row>
    <row r="193" spans="1:7" hidden="1" x14ac:dyDescent="0.25">
      <c r="A193" s="714" t="s">
        <v>726</v>
      </c>
      <c r="B193" s="714">
        <v>2201073746</v>
      </c>
      <c r="C193" s="715">
        <v>44568</v>
      </c>
      <c r="D193" s="714" t="s">
        <v>730</v>
      </c>
      <c r="E193" s="714">
        <v>3036987.84</v>
      </c>
      <c r="G193" s="714">
        <v>54.8</v>
      </c>
    </row>
    <row r="194" spans="1:7" hidden="1" x14ac:dyDescent="0.25">
      <c r="A194" s="714" t="s">
        <v>726</v>
      </c>
      <c r="B194" s="714">
        <v>2201073158</v>
      </c>
      <c r="C194" s="715">
        <v>44568</v>
      </c>
      <c r="D194" s="714" t="s">
        <v>734</v>
      </c>
      <c r="E194" s="714">
        <v>4221111</v>
      </c>
      <c r="G194" s="714">
        <v>-3036933.04</v>
      </c>
    </row>
    <row r="195" spans="1:7" x14ac:dyDescent="0.25">
      <c r="A195" s="714" t="s">
        <v>726</v>
      </c>
      <c r="B195" s="714">
        <v>2201074148</v>
      </c>
      <c r="C195" s="715">
        <v>44568</v>
      </c>
      <c r="D195" s="714" t="s">
        <v>819</v>
      </c>
      <c r="E195" s="714">
        <v>0</v>
      </c>
      <c r="F195" s="714">
        <v>4188799.38</v>
      </c>
      <c r="G195" s="714">
        <v>-4188744.58</v>
      </c>
    </row>
    <row r="196" spans="1:7" hidden="1" x14ac:dyDescent="0.25">
      <c r="A196" s="714" t="s">
        <v>726</v>
      </c>
      <c r="B196" s="714">
        <v>2201084159</v>
      </c>
      <c r="C196" s="715">
        <v>44569</v>
      </c>
      <c r="D196" s="714" t="s">
        <v>730</v>
      </c>
      <c r="E196" s="714">
        <v>3633813.19</v>
      </c>
      <c r="G196" s="714">
        <v>-554931.39</v>
      </c>
    </row>
    <row r="197" spans="1:7" x14ac:dyDescent="0.25">
      <c r="A197" s="714" t="s">
        <v>726</v>
      </c>
      <c r="B197" s="714">
        <v>2201084160</v>
      </c>
      <c r="C197" s="715">
        <v>44569</v>
      </c>
      <c r="D197" s="714" t="s">
        <v>820</v>
      </c>
      <c r="E197" s="714">
        <v>0</v>
      </c>
      <c r="F197" s="714">
        <v>3573784.11</v>
      </c>
      <c r="G197" s="714">
        <v>-4128715.5</v>
      </c>
    </row>
    <row r="198" spans="1:7" hidden="1" x14ac:dyDescent="0.25">
      <c r="A198" s="714" t="s">
        <v>726</v>
      </c>
      <c r="B198" s="714">
        <v>2201094167</v>
      </c>
      <c r="C198" s="715">
        <v>44570</v>
      </c>
      <c r="D198" s="714" t="s">
        <v>730</v>
      </c>
      <c r="E198" s="714">
        <v>3100289.06</v>
      </c>
      <c r="G198" s="714">
        <v>-1028426.44</v>
      </c>
    </row>
    <row r="199" spans="1:7" x14ac:dyDescent="0.25">
      <c r="A199" s="714" t="s">
        <v>726</v>
      </c>
      <c r="B199" s="714">
        <v>2201094168</v>
      </c>
      <c r="C199" s="715">
        <v>44570</v>
      </c>
      <c r="D199" s="714" t="s">
        <v>821</v>
      </c>
      <c r="E199" s="714">
        <v>0</v>
      </c>
      <c r="F199" s="714">
        <v>3586000.02</v>
      </c>
      <c r="G199" s="714">
        <v>-4614426.46</v>
      </c>
    </row>
    <row r="200" spans="1:7" hidden="1" x14ac:dyDescent="0.25">
      <c r="A200" s="714" t="s">
        <v>726</v>
      </c>
      <c r="B200" s="714">
        <v>2201105623</v>
      </c>
      <c r="C200" s="715">
        <v>44571</v>
      </c>
      <c r="D200" s="714" t="s">
        <v>730</v>
      </c>
      <c r="E200" s="714">
        <v>3110886.94</v>
      </c>
      <c r="G200" s="714">
        <v>-1503539.52</v>
      </c>
    </row>
    <row r="201" spans="1:7" x14ac:dyDescent="0.25">
      <c r="A201" s="714" t="s">
        <v>726</v>
      </c>
      <c r="B201" s="714">
        <v>2201106102</v>
      </c>
      <c r="C201" s="715">
        <v>44571</v>
      </c>
      <c r="D201" s="714" t="s">
        <v>822</v>
      </c>
      <c r="E201" s="714">
        <v>0</v>
      </c>
      <c r="F201" s="714">
        <v>3841445.35</v>
      </c>
      <c r="G201" s="714">
        <v>-5344984.87</v>
      </c>
    </row>
    <row r="202" spans="1:7" hidden="1" x14ac:dyDescent="0.25">
      <c r="A202" s="714" t="s">
        <v>726</v>
      </c>
      <c r="B202" s="714">
        <v>2201116738</v>
      </c>
      <c r="C202" s="715">
        <v>44572</v>
      </c>
      <c r="D202" s="714" t="s">
        <v>730</v>
      </c>
      <c r="E202" s="714">
        <v>3336149.2</v>
      </c>
      <c r="G202" s="714">
        <v>-2008835.67</v>
      </c>
    </row>
    <row r="203" spans="1:7" x14ac:dyDescent="0.25">
      <c r="A203" s="714" t="s">
        <v>726</v>
      </c>
      <c r="B203" s="714">
        <v>2201117092</v>
      </c>
      <c r="C203" s="715">
        <v>44572</v>
      </c>
      <c r="D203" s="714" t="s">
        <v>823</v>
      </c>
      <c r="E203" s="714">
        <v>0</v>
      </c>
      <c r="F203" s="714">
        <v>3697083.46</v>
      </c>
      <c r="G203" s="714">
        <v>-5705919.1299999999</v>
      </c>
    </row>
    <row r="204" spans="1:7" hidden="1" x14ac:dyDescent="0.25">
      <c r="A204" s="714" t="s">
        <v>726</v>
      </c>
      <c r="B204" s="714">
        <v>2201127403</v>
      </c>
      <c r="C204" s="715">
        <v>44573</v>
      </c>
      <c r="D204" s="714" t="s">
        <v>730</v>
      </c>
      <c r="E204" s="714">
        <v>3193704.3</v>
      </c>
      <c r="G204" s="714">
        <v>-2512214.83</v>
      </c>
    </row>
    <row r="205" spans="1:7" x14ac:dyDescent="0.25">
      <c r="A205" s="714" t="s">
        <v>726</v>
      </c>
      <c r="B205" s="714">
        <v>2201128024</v>
      </c>
      <c r="C205" s="715">
        <v>44573</v>
      </c>
      <c r="D205" s="714" t="s">
        <v>824</v>
      </c>
      <c r="E205" s="714">
        <v>0</v>
      </c>
      <c r="F205" s="714">
        <v>2416631.7200000002</v>
      </c>
      <c r="G205" s="714">
        <v>-4928846.55</v>
      </c>
    </row>
    <row r="206" spans="1:7" hidden="1" x14ac:dyDescent="0.25">
      <c r="A206" s="714" t="s">
        <v>726</v>
      </c>
      <c r="B206" s="714">
        <v>2201138366</v>
      </c>
      <c r="C206" s="715">
        <v>44574</v>
      </c>
      <c r="D206" s="714" t="s">
        <v>730</v>
      </c>
      <c r="E206" s="714">
        <v>2103933.65</v>
      </c>
      <c r="G206" s="714">
        <v>-2824912.9</v>
      </c>
    </row>
    <row r="207" spans="1:7" x14ac:dyDescent="0.25">
      <c r="A207" s="714" t="s">
        <v>726</v>
      </c>
      <c r="B207" s="714">
        <v>2201138979</v>
      </c>
      <c r="C207" s="715">
        <v>44574</v>
      </c>
      <c r="D207" s="714" t="s">
        <v>825</v>
      </c>
      <c r="E207" s="714">
        <v>0</v>
      </c>
      <c r="F207" s="714">
        <v>2417115.73</v>
      </c>
      <c r="G207" s="714">
        <v>-5242028.63</v>
      </c>
    </row>
    <row r="208" spans="1:7" x14ac:dyDescent="0.25">
      <c r="A208" s="714" t="s">
        <v>726</v>
      </c>
      <c r="B208" s="714">
        <v>2201140035</v>
      </c>
      <c r="C208" s="715">
        <v>44575</v>
      </c>
      <c r="D208" s="714" t="s">
        <v>826</v>
      </c>
      <c r="E208" s="714">
        <v>0</v>
      </c>
      <c r="F208" s="714">
        <v>2328185.41</v>
      </c>
      <c r="G208" s="714">
        <v>-7570214.04</v>
      </c>
    </row>
    <row r="209" spans="1:7" hidden="1" x14ac:dyDescent="0.25">
      <c r="A209" s="714" t="s">
        <v>726</v>
      </c>
      <c r="B209" s="714">
        <v>2201149177</v>
      </c>
      <c r="C209" s="715">
        <v>44575</v>
      </c>
      <c r="D209" s="714" t="s">
        <v>734</v>
      </c>
      <c r="E209" s="714">
        <v>3137971</v>
      </c>
      <c r="G209" s="714">
        <v>-4432243.04</v>
      </c>
    </row>
    <row r="210" spans="1:7" hidden="1" x14ac:dyDescent="0.25">
      <c r="A210" s="714" t="s">
        <v>726</v>
      </c>
      <c r="B210" s="714">
        <v>2201149418</v>
      </c>
      <c r="C210" s="715">
        <v>44575</v>
      </c>
      <c r="D210" s="714" t="s">
        <v>730</v>
      </c>
      <c r="E210" s="714">
        <v>2104111.5299999998</v>
      </c>
      <c r="G210" s="714">
        <v>-2328131.5099999998</v>
      </c>
    </row>
    <row r="211" spans="1:7" hidden="1" x14ac:dyDescent="0.25">
      <c r="A211" s="714" t="s">
        <v>726</v>
      </c>
      <c r="B211" s="714">
        <v>2201150047</v>
      </c>
      <c r="C211" s="715">
        <v>44576</v>
      </c>
      <c r="D211" s="714" t="s">
        <v>730</v>
      </c>
      <c r="E211" s="714">
        <v>2028479.24</v>
      </c>
      <c r="G211" s="714">
        <v>-299652.27</v>
      </c>
    </row>
    <row r="212" spans="1:7" x14ac:dyDescent="0.25">
      <c r="A212" s="714" t="s">
        <v>726</v>
      </c>
      <c r="B212" s="714">
        <v>2201150048</v>
      </c>
      <c r="C212" s="715">
        <v>44576</v>
      </c>
      <c r="D212" s="714" t="s">
        <v>827</v>
      </c>
      <c r="E212" s="714">
        <v>0</v>
      </c>
      <c r="F212" s="714">
        <v>2227835.12</v>
      </c>
      <c r="G212" s="714">
        <v>-2527487.39</v>
      </c>
    </row>
    <row r="213" spans="1:7" hidden="1" x14ac:dyDescent="0.25">
      <c r="A213" s="714" t="s">
        <v>726</v>
      </c>
      <c r="B213" s="714">
        <v>2201160055</v>
      </c>
      <c r="C213" s="715">
        <v>44577</v>
      </c>
      <c r="D213" s="714" t="s">
        <v>730</v>
      </c>
      <c r="E213" s="714">
        <v>1941044.97</v>
      </c>
      <c r="G213" s="714">
        <v>-586442.42000000004</v>
      </c>
    </row>
    <row r="214" spans="1:7" x14ac:dyDescent="0.25">
      <c r="A214" s="714" t="s">
        <v>726</v>
      </c>
      <c r="B214" s="714">
        <v>2201160056</v>
      </c>
      <c r="C214" s="715">
        <v>44577</v>
      </c>
      <c r="D214" s="714" t="s">
        <v>828</v>
      </c>
      <c r="E214" s="714">
        <v>0</v>
      </c>
      <c r="F214" s="714">
        <v>2223923.08</v>
      </c>
      <c r="G214" s="714">
        <v>-2810365.5</v>
      </c>
    </row>
    <row r="215" spans="1:7" hidden="1" x14ac:dyDescent="0.25">
      <c r="A215" s="714" t="s">
        <v>726</v>
      </c>
      <c r="B215" s="714">
        <v>2201171316</v>
      </c>
      <c r="C215" s="715">
        <v>44578</v>
      </c>
      <c r="D215" s="714" t="s">
        <v>730</v>
      </c>
      <c r="E215" s="714">
        <v>1937643.87</v>
      </c>
      <c r="G215" s="714">
        <v>-872721.63</v>
      </c>
    </row>
    <row r="216" spans="1:7" x14ac:dyDescent="0.25">
      <c r="A216" s="714" t="s">
        <v>726</v>
      </c>
      <c r="B216" s="714">
        <v>2201171832</v>
      </c>
      <c r="C216" s="715">
        <v>44578</v>
      </c>
      <c r="D216" s="714" t="s">
        <v>829</v>
      </c>
      <c r="E216" s="714">
        <v>0</v>
      </c>
      <c r="F216" s="714">
        <v>2741921.51</v>
      </c>
      <c r="G216" s="714">
        <v>-3614643.14</v>
      </c>
    </row>
    <row r="217" spans="1:7" hidden="1" x14ac:dyDescent="0.25">
      <c r="A217" s="714" t="s">
        <v>726</v>
      </c>
      <c r="B217" s="714">
        <v>2201182673</v>
      </c>
      <c r="C217" s="715">
        <v>44579</v>
      </c>
      <c r="D217" s="714" t="s">
        <v>730</v>
      </c>
      <c r="E217" s="714">
        <v>2387692.38</v>
      </c>
      <c r="G217" s="714">
        <v>-1226950.76</v>
      </c>
    </row>
    <row r="218" spans="1:7" x14ac:dyDescent="0.25">
      <c r="A218" s="714" t="s">
        <v>726</v>
      </c>
      <c r="B218" s="714">
        <v>2201182747</v>
      </c>
      <c r="C218" s="715">
        <v>44579</v>
      </c>
      <c r="D218" s="714" t="s">
        <v>830</v>
      </c>
      <c r="E218" s="714">
        <v>0</v>
      </c>
      <c r="F218" s="714">
        <v>2421516.89</v>
      </c>
      <c r="G218" s="714">
        <v>-3648467.65</v>
      </c>
    </row>
    <row r="219" spans="1:7" hidden="1" x14ac:dyDescent="0.25">
      <c r="A219" s="714" t="s">
        <v>726</v>
      </c>
      <c r="B219" s="714">
        <v>2201193307</v>
      </c>
      <c r="C219" s="715">
        <v>44580</v>
      </c>
      <c r="D219" s="714" t="s">
        <v>730</v>
      </c>
      <c r="E219" s="714">
        <v>2109340.77</v>
      </c>
      <c r="G219" s="714">
        <v>-1539126.88</v>
      </c>
    </row>
    <row r="220" spans="1:7" x14ac:dyDescent="0.25">
      <c r="A220" s="714" t="s">
        <v>726</v>
      </c>
      <c r="B220" s="714">
        <v>2201193552</v>
      </c>
      <c r="C220" s="715">
        <v>44580</v>
      </c>
      <c r="D220" s="714" t="s">
        <v>831</v>
      </c>
      <c r="E220" s="714">
        <v>0</v>
      </c>
      <c r="F220" s="714">
        <v>2140781.83</v>
      </c>
      <c r="G220" s="714">
        <v>-3679908.71</v>
      </c>
    </row>
    <row r="221" spans="1:7" hidden="1" x14ac:dyDescent="0.25">
      <c r="A221" s="714" t="s">
        <v>726</v>
      </c>
      <c r="B221" s="714">
        <v>2201203915</v>
      </c>
      <c r="C221" s="715">
        <v>44581</v>
      </c>
      <c r="D221" s="714" t="s">
        <v>730</v>
      </c>
      <c r="E221" s="714">
        <v>1864343.74</v>
      </c>
      <c r="G221" s="714">
        <v>-1815564.97</v>
      </c>
    </row>
    <row r="222" spans="1:7" x14ac:dyDescent="0.25">
      <c r="A222" s="714" t="s">
        <v>726</v>
      </c>
      <c r="B222" s="714">
        <v>2201204400</v>
      </c>
      <c r="C222" s="715">
        <v>44581</v>
      </c>
      <c r="D222" s="714" t="s">
        <v>832</v>
      </c>
      <c r="E222" s="714">
        <v>0</v>
      </c>
      <c r="F222" s="714">
        <v>2309935.15</v>
      </c>
      <c r="G222" s="714">
        <v>-4125500.12</v>
      </c>
    </row>
    <row r="223" spans="1:7" hidden="1" x14ac:dyDescent="0.25">
      <c r="A223" s="714" t="s">
        <v>726</v>
      </c>
      <c r="B223" s="714">
        <v>2201214805</v>
      </c>
      <c r="C223" s="715">
        <v>44582</v>
      </c>
      <c r="D223" s="714" t="s">
        <v>730</v>
      </c>
      <c r="E223" s="714">
        <v>2011676.98</v>
      </c>
      <c r="G223" s="714">
        <v>-2113823.14</v>
      </c>
    </row>
    <row r="224" spans="1:7" hidden="1" x14ac:dyDescent="0.25">
      <c r="A224" s="714" t="s">
        <v>726</v>
      </c>
      <c r="B224" s="714">
        <v>2201214851</v>
      </c>
      <c r="C224" s="715">
        <v>44582</v>
      </c>
      <c r="D224" s="714" t="s">
        <v>734</v>
      </c>
      <c r="E224" s="714">
        <v>2113876</v>
      </c>
      <c r="G224" s="714">
        <v>52.86</v>
      </c>
    </row>
    <row r="225" spans="1:7" x14ac:dyDescent="0.25">
      <c r="A225" s="714" t="s">
        <v>726</v>
      </c>
      <c r="B225" s="714">
        <v>2201215467</v>
      </c>
      <c r="C225" s="715">
        <v>44582</v>
      </c>
      <c r="D225" s="714" t="s">
        <v>833</v>
      </c>
      <c r="E225" s="714">
        <v>0</v>
      </c>
      <c r="F225" s="714">
        <v>1719479.37</v>
      </c>
      <c r="G225" s="714">
        <v>-1719426.51</v>
      </c>
    </row>
    <row r="226" spans="1:7" hidden="1" x14ac:dyDescent="0.25">
      <c r="A226" s="714" t="s">
        <v>726</v>
      </c>
      <c r="B226" s="714">
        <v>2201225475</v>
      </c>
      <c r="C226" s="715">
        <v>44583</v>
      </c>
      <c r="D226" s="714" t="s">
        <v>730</v>
      </c>
      <c r="E226" s="714">
        <v>1497784.24</v>
      </c>
      <c r="G226" s="714">
        <v>-221642.27</v>
      </c>
    </row>
    <row r="227" spans="1:7" x14ac:dyDescent="0.25">
      <c r="A227" s="714" t="s">
        <v>726</v>
      </c>
      <c r="B227" s="714">
        <v>2201225476</v>
      </c>
      <c r="C227" s="715">
        <v>44583</v>
      </c>
      <c r="D227" s="714" t="s">
        <v>834</v>
      </c>
      <c r="E227" s="714">
        <v>0</v>
      </c>
      <c r="F227" s="714">
        <v>2130964.04</v>
      </c>
      <c r="G227" s="714">
        <v>-2352606.31</v>
      </c>
    </row>
    <row r="228" spans="1:7" hidden="1" x14ac:dyDescent="0.25">
      <c r="A228" s="714" t="s">
        <v>726</v>
      </c>
      <c r="B228" s="714">
        <v>2201235483</v>
      </c>
      <c r="C228" s="715">
        <v>44584</v>
      </c>
      <c r="D228" s="714" t="s">
        <v>730</v>
      </c>
      <c r="E228" s="714">
        <v>1856219.96</v>
      </c>
      <c r="G228" s="714">
        <v>-496386.35</v>
      </c>
    </row>
    <row r="229" spans="1:7" x14ac:dyDescent="0.25">
      <c r="A229" s="714" t="s">
        <v>726</v>
      </c>
      <c r="B229" s="714">
        <v>2201235484</v>
      </c>
      <c r="C229" s="715">
        <v>44584</v>
      </c>
      <c r="D229" s="714" t="s">
        <v>835</v>
      </c>
      <c r="E229" s="714">
        <v>0</v>
      </c>
      <c r="F229" s="714">
        <v>2124120.5</v>
      </c>
      <c r="G229" s="714">
        <v>-2620506.85</v>
      </c>
    </row>
    <row r="230" spans="1:7" hidden="1" x14ac:dyDescent="0.25">
      <c r="A230" s="714" t="s">
        <v>726</v>
      </c>
      <c r="B230" s="714">
        <v>2201246805</v>
      </c>
      <c r="C230" s="715">
        <v>44585</v>
      </c>
      <c r="D230" s="714" t="s">
        <v>730</v>
      </c>
      <c r="E230" s="714">
        <v>1850252.34</v>
      </c>
      <c r="G230" s="714">
        <v>-770254.51</v>
      </c>
    </row>
    <row r="231" spans="1:7" x14ac:dyDescent="0.25">
      <c r="A231" s="714" t="s">
        <v>726</v>
      </c>
      <c r="B231" s="714">
        <v>2201247348</v>
      </c>
      <c r="C231" s="715">
        <v>44585</v>
      </c>
      <c r="D231" s="714" t="s">
        <v>836</v>
      </c>
      <c r="E231" s="714">
        <v>0</v>
      </c>
      <c r="F231" s="714">
        <v>1965850.62</v>
      </c>
      <c r="G231" s="714">
        <v>-2736105.13</v>
      </c>
    </row>
    <row r="232" spans="1:7" hidden="1" x14ac:dyDescent="0.25">
      <c r="A232" s="714" t="s">
        <v>726</v>
      </c>
      <c r="B232" s="714">
        <v>2201257763</v>
      </c>
      <c r="C232" s="715">
        <v>44586</v>
      </c>
      <c r="D232" s="714" t="s">
        <v>730</v>
      </c>
      <c r="E232" s="714">
        <v>1712479.49</v>
      </c>
      <c r="G232" s="714">
        <v>-1023625.64</v>
      </c>
    </row>
    <row r="233" spans="1:7" x14ac:dyDescent="0.25">
      <c r="A233" s="714" t="s">
        <v>726</v>
      </c>
      <c r="B233" s="714">
        <v>2201258360</v>
      </c>
      <c r="C233" s="715">
        <v>44586</v>
      </c>
      <c r="D233" s="714" t="s">
        <v>837</v>
      </c>
      <c r="E233" s="714">
        <v>0</v>
      </c>
      <c r="F233" s="714">
        <v>2518175.71</v>
      </c>
      <c r="G233" s="714">
        <v>-3541801.35</v>
      </c>
    </row>
    <row r="234" spans="1:7" hidden="1" x14ac:dyDescent="0.25">
      <c r="A234" s="714" t="s">
        <v>726</v>
      </c>
      <c r="B234" s="714">
        <v>2201269183</v>
      </c>
      <c r="C234" s="715">
        <v>44587</v>
      </c>
      <c r="D234" s="714" t="s">
        <v>730</v>
      </c>
      <c r="E234" s="714">
        <v>2194718.63</v>
      </c>
      <c r="G234" s="714">
        <v>-1347082.72</v>
      </c>
    </row>
    <row r="235" spans="1:7" x14ac:dyDescent="0.25">
      <c r="A235" s="714" t="s">
        <v>726</v>
      </c>
      <c r="B235" s="714">
        <v>2201269232</v>
      </c>
      <c r="C235" s="715">
        <v>44587</v>
      </c>
      <c r="D235" s="714" t="s">
        <v>838</v>
      </c>
      <c r="E235" s="714">
        <v>0</v>
      </c>
      <c r="F235" s="714">
        <v>1631434.15</v>
      </c>
      <c r="G235" s="714">
        <v>-2978516.87</v>
      </c>
    </row>
    <row r="236" spans="1:7" hidden="1" x14ac:dyDescent="0.25">
      <c r="A236" s="714" t="s">
        <v>726</v>
      </c>
      <c r="B236" s="714">
        <v>2201270252</v>
      </c>
      <c r="C236" s="715">
        <v>44588</v>
      </c>
      <c r="D236" s="714" t="s">
        <v>730</v>
      </c>
      <c r="E236" s="714">
        <v>1425003.96</v>
      </c>
      <c r="G236" s="714">
        <v>-1553512.91</v>
      </c>
    </row>
    <row r="237" spans="1:7" x14ac:dyDescent="0.25">
      <c r="A237" s="714" t="s">
        <v>726</v>
      </c>
      <c r="B237" s="714">
        <v>2201270253</v>
      </c>
      <c r="C237" s="715">
        <v>44588</v>
      </c>
      <c r="D237" s="714" t="s">
        <v>839</v>
      </c>
      <c r="E237" s="714">
        <v>0</v>
      </c>
      <c r="F237" s="714">
        <v>1970174.23</v>
      </c>
      <c r="G237" s="714">
        <v>-3523687.14</v>
      </c>
    </row>
    <row r="238" spans="1:7" hidden="1" x14ac:dyDescent="0.25">
      <c r="A238" s="714" t="s">
        <v>726</v>
      </c>
      <c r="B238" s="714">
        <v>2201281377</v>
      </c>
      <c r="C238" s="715">
        <v>44589</v>
      </c>
      <c r="D238" s="714" t="s">
        <v>730</v>
      </c>
      <c r="E238" s="714">
        <v>1719940.15</v>
      </c>
      <c r="G238" s="714">
        <v>-1803746.99</v>
      </c>
    </row>
    <row r="239" spans="1:7" x14ac:dyDescent="0.25">
      <c r="A239" s="714" t="s">
        <v>726</v>
      </c>
      <c r="B239" s="714">
        <v>2201281378</v>
      </c>
      <c r="C239" s="715">
        <v>44589</v>
      </c>
      <c r="D239" s="714" t="s">
        <v>840</v>
      </c>
      <c r="E239" s="714">
        <v>0</v>
      </c>
      <c r="F239" s="714">
        <v>1660237.03</v>
      </c>
      <c r="G239" s="714">
        <v>-3463984.02</v>
      </c>
    </row>
    <row r="240" spans="1:7" hidden="1" x14ac:dyDescent="0.25">
      <c r="A240" s="714" t="s">
        <v>726</v>
      </c>
      <c r="B240" s="714">
        <v>2201291391</v>
      </c>
      <c r="C240" s="715">
        <v>44590</v>
      </c>
      <c r="D240" s="714" t="s">
        <v>730</v>
      </c>
      <c r="E240" s="714">
        <v>1450277.9</v>
      </c>
      <c r="G240" s="714">
        <v>-2013706.12</v>
      </c>
    </row>
    <row r="241" spans="1:7" x14ac:dyDescent="0.25">
      <c r="A241" s="714" t="s">
        <v>726</v>
      </c>
      <c r="B241" s="714">
        <v>2201291392</v>
      </c>
      <c r="C241" s="715">
        <v>44590</v>
      </c>
      <c r="D241" s="714" t="s">
        <v>841</v>
      </c>
      <c r="E241" s="714">
        <v>0</v>
      </c>
      <c r="F241" s="714">
        <v>1660209.09</v>
      </c>
      <c r="G241" s="714">
        <v>-3673915.21</v>
      </c>
    </row>
    <row r="242" spans="1:7" x14ac:dyDescent="0.25">
      <c r="A242" s="714" t="s">
        <v>726</v>
      </c>
      <c r="B242" s="714">
        <v>2201301400</v>
      </c>
      <c r="C242" s="715">
        <v>44591</v>
      </c>
      <c r="D242" s="714" t="s">
        <v>842</v>
      </c>
      <c r="E242" s="714">
        <v>0</v>
      </c>
      <c r="F242" s="714">
        <v>1656397.08</v>
      </c>
      <c r="G242" s="714">
        <v>-3880057.33</v>
      </c>
    </row>
    <row r="243" spans="1:7" hidden="1" x14ac:dyDescent="0.25">
      <c r="A243" s="714" t="s">
        <v>726</v>
      </c>
      <c r="B243" s="714">
        <v>2201301399</v>
      </c>
      <c r="C243" s="715">
        <v>44591</v>
      </c>
      <c r="D243" s="714" t="s">
        <v>730</v>
      </c>
      <c r="E243" s="714">
        <v>1450254.96</v>
      </c>
      <c r="G243" s="714">
        <v>-2223660.25</v>
      </c>
    </row>
    <row r="244" spans="1:7" hidden="1" x14ac:dyDescent="0.25">
      <c r="A244" s="714" t="s">
        <v>726</v>
      </c>
      <c r="B244" s="714">
        <v>2201311708</v>
      </c>
      <c r="C244" s="715">
        <v>44592</v>
      </c>
      <c r="D244" s="714" t="s">
        <v>734</v>
      </c>
      <c r="E244" s="714">
        <v>1803799</v>
      </c>
      <c r="G244" s="714">
        <v>-2076258.33</v>
      </c>
    </row>
    <row r="245" spans="1:7" x14ac:dyDescent="0.25">
      <c r="A245" s="714" t="s">
        <v>726</v>
      </c>
      <c r="B245" s="714">
        <v>2201313332</v>
      </c>
      <c r="C245" s="715">
        <v>44592</v>
      </c>
      <c r="D245" s="714" t="s">
        <v>843</v>
      </c>
      <c r="E245" s="714">
        <v>0</v>
      </c>
      <c r="F245" s="714">
        <v>1289420</v>
      </c>
      <c r="G245" s="714">
        <v>-1918754.28</v>
      </c>
    </row>
    <row r="246" spans="1:7" hidden="1" x14ac:dyDescent="0.25">
      <c r="A246" s="714" t="s">
        <v>726</v>
      </c>
      <c r="B246" s="714">
        <v>2201313331</v>
      </c>
      <c r="C246" s="715">
        <v>44592</v>
      </c>
      <c r="D246" s="714" t="s">
        <v>730</v>
      </c>
      <c r="E246" s="714">
        <v>1446924.05</v>
      </c>
      <c r="G246" s="714">
        <v>-629334.28</v>
      </c>
    </row>
    <row r="247" spans="1:7" hidden="1" x14ac:dyDescent="0.25">
      <c r="A247" s="714" t="s">
        <v>726</v>
      </c>
      <c r="B247" s="714">
        <v>2202014639</v>
      </c>
      <c r="C247" s="715">
        <v>44593</v>
      </c>
      <c r="D247" s="714" t="s">
        <v>730</v>
      </c>
      <c r="E247" s="714">
        <v>1126431.94</v>
      </c>
      <c r="G247" s="714">
        <v>-792322.34</v>
      </c>
    </row>
    <row r="248" spans="1:7" x14ac:dyDescent="0.25">
      <c r="A248" s="714" t="s">
        <v>726</v>
      </c>
      <c r="B248" s="714">
        <v>2202014640</v>
      </c>
      <c r="C248" s="715">
        <v>44593</v>
      </c>
      <c r="D248" s="714" t="s">
        <v>844</v>
      </c>
      <c r="E248" s="714">
        <v>0</v>
      </c>
      <c r="F248" s="714">
        <v>1480515.64</v>
      </c>
      <c r="G248" s="714">
        <v>-2272837.98</v>
      </c>
    </row>
    <row r="249" spans="1:7" hidden="1" x14ac:dyDescent="0.25">
      <c r="A249" s="714" t="s">
        <v>726</v>
      </c>
      <c r="B249" s="714">
        <v>2202025535</v>
      </c>
      <c r="C249" s="715">
        <v>44594</v>
      </c>
      <c r="D249" s="714" t="s">
        <v>730</v>
      </c>
      <c r="E249" s="714">
        <v>1293527.52</v>
      </c>
      <c r="G249" s="714">
        <v>-979310.46</v>
      </c>
    </row>
    <row r="250" spans="1:7" x14ac:dyDescent="0.25">
      <c r="A250" s="714" t="s">
        <v>726</v>
      </c>
      <c r="B250" s="714">
        <v>2202025536</v>
      </c>
      <c r="C250" s="715">
        <v>44594</v>
      </c>
      <c r="D250" s="714" t="s">
        <v>845</v>
      </c>
      <c r="E250" s="714">
        <v>0</v>
      </c>
      <c r="F250" s="714">
        <v>1713589.3</v>
      </c>
      <c r="G250" s="714">
        <v>-2692899.76</v>
      </c>
    </row>
    <row r="251" spans="1:7" hidden="1" x14ac:dyDescent="0.25">
      <c r="A251" s="714" t="s">
        <v>726</v>
      </c>
      <c r="B251" s="714">
        <v>2202036463</v>
      </c>
      <c r="C251" s="715">
        <v>44595</v>
      </c>
      <c r="D251" s="714" t="s">
        <v>730</v>
      </c>
      <c r="E251" s="714">
        <v>1497224.13</v>
      </c>
      <c r="G251" s="714">
        <v>-1195675.6299999999</v>
      </c>
    </row>
    <row r="252" spans="1:7" x14ac:dyDescent="0.25">
      <c r="A252" s="714" t="s">
        <v>726</v>
      </c>
      <c r="B252" s="714">
        <v>2202036464</v>
      </c>
      <c r="C252" s="715">
        <v>44595</v>
      </c>
      <c r="D252" s="714" t="s">
        <v>846</v>
      </c>
      <c r="E252" s="714">
        <v>0</v>
      </c>
      <c r="F252" s="714">
        <v>1878759.47</v>
      </c>
      <c r="G252" s="714">
        <v>-3074435.1</v>
      </c>
    </row>
    <row r="253" spans="1:7" hidden="1" x14ac:dyDescent="0.25">
      <c r="A253" s="714" t="s">
        <v>726</v>
      </c>
      <c r="B253" s="714">
        <v>2202046734</v>
      </c>
      <c r="C253" s="715">
        <v>44596</v>
      </c>
      <c r="D253" s="714" t="s">
        <v>734</v>
      </c>
      <c r="E253" s="714">
        <v>1433208</v>
      </c>
      <c r="G253" s="714">
        <v>-1641227.1</v>
      </c>
    </row>
    <row r="254" spans="1:7" hidden="1" x14ac:dyDescent="0.25">
      <c r="A254" s="714" t="s">
        <v>726</v>
      </c>
      <c r="B254" s="714">
        <v>2202047511</v>
      </c>
      <c r="C254" s="715">
        <v>44596</v>
      </c>
      <c r="D254" s="714" t="s">
        <v>730</v>
      </c>
      <c r="E254" s="714">
        <v>1641278.34</v>
      </c>
      <c r="G254" s="714">
        <v>51.24</v>
      </c>
    </row>
    <row r="255" spans="1:7" x14ac:dyDescent="0.25">
      <c r="A255" s="714" t="s">
        <v>726</v>
      </c>
      <c r="B255" s="714">
        <v>2202047512</v>
      </c>
      <c r="C255" s="715">
        <v>44596</v>
      </c>
      <c r="D255" s="714" t="s">
        <v>847</v>
      </c>
      <c r="E255" s="714">
        <v>0</v>
      </c>
      <c r="F255" s="714">
        <v>1876563.95</v>
      </c>
      <c r="G255" s="714">
        <v>-1876512.71</v>
      </c>
    </row>
    <row r="256" spans="1:7" hidden="1" x14ac:dyDescent="0.25">
      <c r="A256" s="714" t="s">
        <v>726</v>
      </c>
      <c r="B256" s="714">
        <v>2202057531</v>
      </c>
      <c r="C256" s="715">
        <v>44597</v>
      </c>
      <c r="D256" s="714" t="s">
        <v>730</v>
      </c>
      <c r="E256" s="714">
        <v>1638408.84</v>
      </c>
      <c r="G256" s="714">
        <v>-238103.87</v>
      </c>
    </row>
    <row r="257" spans="1:7" x14ac:dyDescent="0.25">
      <c r="A257" s="714" t="s">
        <v>726</v>
      </c>
      <c r="B257" s="714">
        <v>2202057532</v>
      </c>
      <c r="C257" s="715">
        <v>44597</v>
      </c>
      <c r="D257" s="714" t="s">
        <v>848</v>
      </c>
      <c r="E257" s="714">
        <v>0</v>
      </c>
      <c r="F257" s="714">
        <v>1644072.08</v>
      </c>
      <c r="G257" s="714">
        <v>-1882175.95</v>
      </c>
    </row>
    <row r="258" spans="1:7" hidden="1" x14ac:dyDescent="0.25">
      <c r="A258" s="714" t="s">
        <v>726</v>
      </c>
      <c r="B258" s="714">
        <v>2202067545</v>
      </c>
      <c r="C258" s="715">
        <v>44598</v>
      </c>
      <c r="D258" s="714" t="s">
        <v>730</v>
      </c>
      <c r="E258" s="714">
        <v>1435428.95</v>
      </c>
      <c r="G258" s="714">
        <v>-446747</v>
      </c>
    </row>
    <row r="259" spans="1:7" x14ac:dyDescent="0.25">
      <c r="A259" s="714" t="s">
        <v>726</v>
      </c>
      <c r="B259" s="714">
        <v>2202067546</v>
      </c>
      <c r="C259" s="715">
        <v>44598</v>
      </c>
      <c r="D259" s="714" t="s">
        <v>849</v>
      </c>
      <c r="E259" s="714">
        <v>0</v>
      </c>
      <c r="F259" s="714">
        <v>1643093.05</v>
      </c>
      <c r="G259" s="714">
        <v>-2089840.05</v>
      </c>
    </row>
    <row r="260" spans="1:7" hidden="1" x14ac:dyDescent="0.25">
      <c r="A260" s="714" t="s">
        <v>726</v>
      </c>
      <c r="B260" s="714">
        <v>2202079475</v>
      </c>
      <c r="C260" s="715">
        <v>44599</v>
      </c>
      <c r="D260" s="714" t="s">
        <v>730</v>
      </c>
      <c r="E260" s="714">
        <v>1434574.9</v>
      </c>
      <c r="G260" s="714">
        <v>-655265.15</v>
      </c>
    </row>
    <row r="261" spans="1:7" x14ac:dyDescent="0.25">
      <c r="A261" s="714" t="s">
        <v>726</v>
      </c>
      <c r="B261" s="714">
        <v>2202079476</v>
      </c>
      <c r="C261" s="715">
        <v>44599</v>
      </c>
      <c r="D261" s="714" t="s">
        <v>850</v>
      </c>
      <c r="E261" s="714">
        <v>0</v>
      </c>
      <c r="F261" s="714">
        <v>1527551.04</v>
      </c>
      <c r="G261" s="714">
        <v>-2182816.19</v>
      </c>
    </row>
    <row r="262" spans="1:7" hidden="1" x14ac:dyDescent="0.25">
      <c r="A262" s="714" t="s">
        <v>726</v>
      </c>
      <c r="B262" s="714">
        <v>2202080339</v>
      </c>
      <c r="C262" s="715">
        <v>44600</v>
      </c>
      <c r="D262" s="714" t="s">
        <v>730</v>
      </c>
      <c r="E262" s="714">
        <v>1333696.92</v>
      </c>
      <c r="G262" s="714">
        <v>-849119.27</v>
      </c>
    </row>
    <row r="263" spans="1:7" x14ac:dyDescent="0.25">
      <c r="A263" s="714" t="s">
        <v>726</v>
      </c>
      <c r="B263" s="714">
        <v>2202080510</v>
      </c>
      <c r="C263" s="715">
        <v>44600</v>
      </c>
      <c r="D263" s="714" t="s">
        <v>851</v>
      </c>
      <c r="E263" s="714">
        <v>0</v>
      </c>
      <c r="F263" s="714">
        <v>1581722.38</v>
      </c>
      <c r="G263" s="714">
        <v>-2430841.65</v>
      </c>
    </row>
    <row r="264" spans="1:7" hidden="1" x14ac:dyDescent="0.25">
      <c r="A264" s="714" t="s">
        <v>726</v>
      </c>
      <c r="B264" s="714">
        <v>2202091473</v>
      </c>
      <c r="C264" s="715">
        <v>44601</v>
      </c>
      <c r="D264" s="714" t="s">
        <v>730</v>
      </c>
      <c r="E264" s="714">
        <v>1382372.37</v>
      </c>
      <c r="G264" s="714">
        <v>-1048469.28</v>
      </c>
    </row>
    <row r="265" spans="1:7" x14ac:dyDescent="0.25">
      <c r="A265" s="714" t="s">
        <v>726</v>
      </c>
      <c r="B265" s="714">
        <v>2202091474</v>
      </c>
      <c r="C265" s="715">
        <v>44601</v>
      </c>
      <c r="D265" s="714" t="s">
        <v>852</v>
      </c>
      <c r="E265" s="714">
        <v>0</v>
      </c>
      <c r="F265" s="714">
        <v>1580187.17</v>
      </c>
      <c r="G265" s="714">
        <v>-2628656.4500000002</v>
      </c>
    </row>
    <row r="266" spans="1:7" hidden="1" x14ac:dyDescent="0.25">
      <c r="A266" s="714" t="s">
        <v>726</v>
      </c>
      <c r="B266" s="714">
        <v>2202102453</v>
      </c>
      <c r="C266" s="715">
        <v>44602</v>
      </c>
      <c r="D266" s="714" t="s">
        <v>730</v>
      </c>
      <c r="E266" s="714">
        <v>1382886.07</v>
      </c>
      <c r="G266" s="714">
        <v>-1245770.3799999999</v>
      </c>
    </row>
    <row r="267" spans="1:7" x14ac:dyDescent="0.25">
      <c r="A267" s="714" t="s">
        <v>726</v>
      </c>
      <c r="B267" s="714">
        <v>2202102454</v>
      </c>
      <c r="C267" s="715">
        <v>44602</v>
      </c>
      <c r="D267" s="714" t="s">
        <v>853</v>
      </c>
      <c r="E267" s="714">
        <v>0</v>
      </c>
      <c r="F267" s="714">
        <v>1362714.41</v>
      </c>
      <c r="G267" s="714">
        <v>-2608484.79</v>
      </c>
    </row>
    <row r="268" spans="1:7" hidden="1" x14ac:dyDescent="0.25">
      <c r="A268" s="714" t="s">
        <v>726</v>
      </c>
      <c r="B268" s="714">
        <v>2202112848</v>
      </c>
      <c r="C268" s="715">
        <v>44603</v>
      </c>
      <c r="D268" s="714" t="s">
        <v>734</v>
      </c>
      <c r="E268" s="714">
        <v>1414522</v>
      </c>
      <c r="G268" s="714">
        <v>-1193962.79</v>
      </c>
    </row>
    <row r="269" spans="1:7" hidden="1" x14ac:dyDescent="0.25">
      <c r="A269" s="714" t="s">
        <v>726</v>
      </c>
      <c r="B269" s="714">
        <v>2202113455</v>
      </c>
      <c r="C269" s="715">
        <v>44603</v>
      </c>
      <c r="D269" s="714" t="s">
        <v>730</v>
      </c>
      <c r="E269" s="714">
        <v>1194013.33</v>
      </c>
      <c r="G269" s="714">
        <v>50.54</v>
      </c>
    </row>
    <row r="270" spans="1:7" x14ac:dyDescent="0.25">
      <c r="A270" s="714" t="s">
        <v>726</v>
      </c>
      <c r="B270" s="714">
        <v>2202113456</v>
      </c>
      <c r="C270" s="715">
        <v>44603</v>
      </c>
      <c r="D270" s="714" t="s">
        <v>854</v>
      </c>
      <c r="E270" s="714">
        <v>0</v>
      </c>
      <c r="F270" s="714">
        <v>1559194.51</v>
      </c>
      <c r="G270" s="714">
        <v>-1559143.97</v>
      </c>
    </row>
    <row r="271" spans="1:7" hidden="1" x14ac:dyDescent="0.25">
      <c r="A271" s="714" t="s">
        <v>726</v>
      </c>
      <c r="B271" s="714">
        <v>2202123463</v>
      </c>
      <c r="C271" s="715">
        <v>44604</v>
      </c>
      <c r="D271" s="714" t="s">
        <v>730</v>
      </c>
      <c r="E271" s="714">
        <v>1366176.34</v>
      </c>
      <c r="G271" s="714">
        <v>-192967.63</v>
      </c>
    </row>
    <row r="272" spans="1:7" x14ac:dyDescent="0.25">
      <c r="A272" s="714" t="s">
        <v>726</v>
      </c>
      <c r="B272" s="714">
        <v>2202123464</v>
      </c>
      <c r="C272" s="715">
        <v>44604</v>
      </c>
      <c r="D272" s="714" t="s">
        <v>855</v>
      </c>
      <c r="E272" s="714">
        <v>0</v>
      </c>
      <c r="F272" s="714">
        <v>1619106.12</v>
      </c>
      <c r="G272" s="714">
        <v>-1812073.75</v>
      </c>
    </row>
    <row r="273" spans="1:7" hidden="1" x14ac:dyDescent="0.25">
      <c r="A273" s="714" t="s">
        <v>726</v>
      </c>
      <c r="B273" s="714">
        <v>2202133479</v>
      </c>
      <c r="C273" s="715">
        <v>44605</v>
      </c>
      <c r="D273" s="714" t="s">
        <v>730</v>
      </c>
      <c r="E273" s="714">
        <v>1418669.95</v>
      </c>
      <c r="G273" s="714">
        <v>-393403.8</v>
      </c>
    </row>
    <row r="274" spans="1:7" x14ac:dyDescent="0.25">
      <c r="A274" s="714" t="s">
        <v>726</v>
      </c>
      <c r="B274" s="714">
        <v>2202133480</v>
      </c>
      <c r="C274" s="715">
        <v>44605</v>
      </c>
      <c r="D274" s="714" t="s">
        <v>856</v>
      </c>
      <c r="E274" s="714">
        <v>0</v>
      </c>
      <c r="F274" s="714">
        <v>1619204.11</v>
      </c>
      <c r="G274" s="714">
        <v>-2012607.91</v>
      </c>
    </row>
    <row r="275" spans="1:7" hidden="1" x14ac:dyDescent="0.25">
      <c r="A275" s="714" t="s">
        <v>726</v>
      </c>
      <c r="B275" s="714">
        <v>2202145322</v>
      </c>
      <c r="C275" s="715">
        <v>44606</v>
      </c>
      <c r="D275" s="714" t="s">
        <v>730</v>
      </c>
      <c r="E275" s="714">
        <v>1418757.87</v>
      </c>
      <c r="G275" s="714">
        <v>-593850.04</v>
      </c>
    </row>
    <row r="276" spans="1:7" x14ac:dyDescent="0.25">
      <c r="A276" s="714" t="s">
        <v>726</v>
      </c>
      <c r="B276" s="714">
        <v>2202145323</v>
      </c>
      <c r="C276" s="715">
        <v>44606</v>
      </c>
      <c r="D276" s="714" t="s">
        <v>857</v>
      </c>
      <c r="E276" s="714">
        <v>0</v>
      </c>
      <c r="F276" s="714">
        <v>1353694.51</v>
      </c>
      <c r="G276" s="714">
        <v>-1947544.55</v>
      </c>
    </row>
    <row r="277" spans="1:7" hidden="1" x14ac:dyDescent="0.25">
      <c r="A277" s="714" t="s">
        <v>726</v>
      </c>
      <c r="B277" s="714">
        <v>2202156297</v>
      </c>
      <c r="C277" s="715">
        <v>44607</v>
      </c>
      <c r="D277" s="714" t="s">
        <v>730</v>
      </c>
      <c r="E277" s="714">
        <v>1186201.3899999999</v>
      </c>
      <c r="G277" s="714">
        <v>-761343.16</v>
      </c>
    </row>
    <row r="278" spans="1:7" x14ac:dyDescent="0.25">
      <c r="A278" s="714" t="s">
        <v>726</v>
      </c>
      <c r="B278" s="714">
        <v>2202156298</v>
      </c>
      <c r="C278" s="715">
        <v>44607</v>
      </c>
      <c r="D278" s="714" t="s">
        <v>858</v>
      </c>
      <c r="E278" s="714">
        <v>0</v>
      </c>
      <c r="F278" s="714">
        <v>1426680.26</v>
      </c>
      <c r="G278" s="714">
        <v>-2188023.42</v>
      </c>
    </row>
    <row r="279" spans="1:7" hidden="1" x14ac:dyDescent="0.25">
      <c r="A279" s="714" t="s">
        <v>726</v>
      </c>
      <c r="B279" s="714">
        <v>2202167287</v>
      </c>
      <c r="C279" s="715">
        <v>44608</v>
      </c>
      <c r="D279" s="714" t="s">
        <v>730</v>
      </c>
      <c r="E279" s="714">
        <v>1249941.1000000001</v>
      </c>
      <c r="G279" s="714">
        <v>-938082.32</v>
      </c>
    </row>
    <row r="280" spans="1:7" x14ac:dyDescent="0.25">
      <c r="A280" s="714" t="s">
        <v>726</v>
      </c>
      <c r="B280" s="714">
        <v>2202167288</v>
      </c>
      <c r="C280" s="715">
        <v>44608</v>
      </c>
      <c r="D280" s="714" t="s">
        <v>859</v>
      </c>
      <c r="E280" s="714">
        <v>0</v>
      </c>
      <c r="F280" s="714">
        <v>1557051.73</v>
      </c>
      <c r="G280" s="714">
        <v>-2495134.0499999998</v>
      </c>
    </row>
    <row r="281" spans="1:7" hidden="1" x14ac:dyDescent="0.25">
      <c r="A281" s="714" t="s">
        <v>726</v>
      </c>
      <c r="B281" s="714">
        <v>2202178243</v>
      </c>
      <c r="C281" s="715">
        <v>44609</v>
      </c>
      <c r="D281" s="714" t="s">
        <v>730</v>
      </c>
      <c r="E281" s="714">
        <v>1364695.55</v>
      </c>
      <c r="G281" s="714">
        <v>-1130438.5</v>
      </c>
    </row>
    <row r="282" spans="1:7" x14ac:dyDescent="0.25">
      <c r="A282" s="714" t="s">
        <v>726</v>
      </c>
      <c r="B282" s="714">
        <v>2202178244</v>
      </c>
      <c r="C282" s="715">
        <v>44609</v>
      </c>
      <c r="D282" s="714" t="s">
        <v>860</v>
      </c>
      <c r="E282" s="714">
        <v>0</v>
      </c>
      <c r="F282" s="714">
        <v>1502618.35</v>
      </c>
      <c r="G282" s="714">
        <v>-2633056.85</v>
      </c>
    </row>
    <row r="283" spans="1:7" hidden="1" x14ac:dyDescent="0.25">
      <c r="A283" s="714" t="s">
        <v>726</v>
      </c>
      <c r="B283" s="714">
        <v>2202189435</v>
      </c>
      <c r="C283" s="715">
        <v>44610</v>
      </c>
      <c r="D283" s="714" t="s">
        <v>730</v>
      </c>
      <c r="E283" s="714">
        <v>1320404.2</v>
      </c>
      <c r="G283" s="714">
        <v>-1312652.6499999999</v>
      </c>
    </row>
    <row r="284" spans="1:7" x14ac:dyDescent="0.25">
      <c r="A284" s="714" t="s">
        <v>726</v>
      </c>
      <c r="B284" s="714">
        <v>2202189436</v>
      </c>
      <c r="C284" s="715">
        <v>44610</v>
      </c>
      <c r="D284" s="714" t="s">
        <v>861</v>
      </c>
      <c r="E284" s="714">
        <v>0</v>
      </c>
      <c r="F284" s="714">
        <v>1504205.9</v>
      </c>
      <c r="G284" s="714">
        <v>-2816858.55</v>
      </c>
    </row>
    <row r="285" spans="1:7" hidden="1" x14ac:dyDescent="0.25">
      <c r="A285" s="714" t="s">
        <v>726</v>
      </c>
      <c r="B285" s="714">
        <v>2202199447</v>
      </c>
      <c r="C285" s="715">
        <v>44611</v>
      </c>
      <c r="D285" s="714" t="s">
        <v>730</v>
      </c>
      <c r="E285" s="714">
        <v>1319615.75</v>
      </c>
      <c r="G285" s="714">
        <v>-1497242.8</v>
      </c>
    </row>
    <row r="286" spans="1:7" x14ac:dyDescent="0.25">
      <c r="A286" s="714" t="s">
        <v>726</v>
      </c>
      <c r="B286" s="714">
        <v>2202199448</v>
      </c>
      <c r="C286" s="715">
        <v>44611</v>
      </c>
      <c r="D286" s="714" t="s">
        <v>862</v>
      </c>
      <c r="E286" s="714">
        <v>0</v>
      </c>
      <c r="F286" s="714">
        <v>1502436.94</v>
      </c>
      <c r="G286" s="714">
        <v>-2999679.74</v>
      </c>
    </row>
    <row r="287" spans="1:7" hidden="1" x14ac:dyDescent="0.25">
      <c r="A287" s="714" t="s">
        <v>726</v>
      </c>
      <c r="B287" s="714">
        <v>2202209455</v>
      </c>
      <c r="C287" s="715">
        <v>44612</v>
      </c>
      <c r="D287" s="714" t="s">
        <v>730</v>
      </c>
      <c r="E287" s="714">
        <v>1318069.8799999999</v>
      </c>
      <c r="G287" s="714">
        <v>-1681609.86</v>
      </c>
    </row>
    <row r="288" spans="1:7" x14ac:dyDescent="0.25">
      <c r="A288" s="714" t="s">
        <v>726</v>
      </c>
      <c r="B288" s="714">
        <v>2202209456</v>
      </c>
      <c r="C288" s="715">
        <v>44612</v>
      </c>
      <c r="D288" s="714" t="s">
        <v>863</v>
      </c>
      <c r="E288" s="714">
        <v>0</v>
      </c>
      <c r="F288" s="714">
        <v>1501864.97</v>
      </c>
      <c r="G288" s="714">
        <v>-3183474.83</v>
      </c>
    </row>
    <row r="289" spans="1:7" hidden="1" x14ac:dyDescent="0.25">
      <c r="A289" s="714" t="s">
        <v>726</v>
      </c>
      <c r="B289" s="714">
        <v>2202210356</v>
      </c>
      <c r="C289" s="715">
        <v>44613</v>
      </c>
      <c r="D289" s="714" t="s">
        <v>734</v>
      </c>
      <c r="E289" s="714">
        <v>1312702</v>
      </c>
      <c r="G289" s="714">
        <v>-1870772.83</v>
      </c>
    </row>
    <row r="290" spans="1:7" hidden="1" x14ac:dyDescent="0.25">
      <c r="A290" s="714" t="s">
        <v>726</v>
      </c>
      <c r="B290" s="714">
        <v>2202211422</v>
      </c>
      <c r="C290" s="715">
        <v>44613</v>
      </c>
      <c r="D290" s="714" t="s">
        <v>730</v>
      </c>
      <c r="E290" s="714">
        <v>1317571.74</v>
      </c>
      <c r="G290" s="714">
        <v>-553201.09</v>
      </c>
    </row>
    <row r="291" spans="1:7" x14ac:dyDescent="0.25">
      <c r="A291" s="714" t="s">
        <v>726</v>
      </c>
      <c r="B291" s="714">
        <v>2202211423</v>
      </c>
      <c r="C291" s="715">
        <v>44613</v>
      </c>
      <c r="D291" s="714" t="s">
        <v>864</v>
      </c>
      <c r="E291" s="714">
        <v>0</v>
      </c>
      <c r="F291" s="714">
        <v>1399179.43</v>
      </c>
      <c r="G291" s="714">
        <v>-1952380.52</v>
      </c>
    </row>
    <row r="292" spans="1:7" hidden="1" x14ac:dyDescent="0.25">
      <c r="A292" s="714" t="s">
        <v>726</v>
      </c>
      <c r="B292" s="714">
        <v>2202222420</v>
      </c>
      <c r="C292" s="715">
        <v>44614</v>
      </c>
      <c r="D292" s="714" t="s">
        <v>730</v>
      </c>
      <c r="E292" s="714">
        <v>1227476.4099999999</v>
      </c>
      <c r="G292" s="714">
        <v>-724904.11</v>
      </c>
    </row>
    <row r="293" spans="1:7" x14ac:dyDescent="0.25">
      <c r="A293" s="714" t="s">
        <v>726</v>
      </c>
      <c r="B293" s="714">
        <v>2202222421</v>
      </c>
      <c r="C293" s="715">
        <v>44614</v>
      </c>
      <c r="D293" s="714" t="s">
        <v>865</v>
      </c>
      <c r="E293" s="714">
        <v>0</v>
      </c>
      <c r="F293" s="714">
        <v>1452493.4</v>
      </c>
      <c r="G293" s="714">
        <v>-2177397.5099999998</v>
      </c>
    </row>
    <row r="294" spans="1:7" hidden="1" x14ac:dyDescent="0.25">
      <c r="A294" s="714" t="s">
        <v>726</v>
      </c>
      <c r="B294" s="714">
        <v>2202233435</v>
      </c>
      <c r="C294" s="715">
        <v>44615</v>
      </c>
      <c r="D294" s="714" t="s">
        <v>730</v>
      </c>
      <c r="E294" s="714">
        <v>1275878.3</v>
      </c>
      <c r="G294" s="714">
        <v>-901519.21</v>
      </c>
    </row>
    <row r="295" spans="1:7" x14ac:dyDescent="0.25">
      <c r="A295" s="714" t="s">
        <v>726</v>
      </c>
      <c r="B295" s="714">
        <v>2202233436</v>
      </c>
      <c r="C295" s="715">
        <v>44615</v>
      </c>
      <c r="D295" s="714" t="s">
        <v>866</v>
      </c>
      <c r="E295" s="714">
        <v>0</v>
      </c>
      <c r="F295" s="714">
        <v>1364841.93</v>
      </c>
      <c r="G295" s="714">
        <v>-2266361.14</v>
      </c>
    </row>
    <row r="296" spans="1:7" hidden="1" x14ac:dyDescent="0.25">
      <c r="A296" s="714" t="s">
        <v>726</v>
      </c>
      <c r="B296" s="714">
        <v>2202244409</v>
      </c>
      <c r="C296" s="715">
        <v>44616</v>
      </c>
      <c r="D296" s="714" t="s">
        <v>730</v>
      </c>
      <c r="E296" s="714">
        <v>1199645.8600000001</v>
      </c>
      <c r="G296" s="714">
        <v>-1066715.28</v>
      </c>
    </row>
    <row r="297" spans="1:7" x14ac:dyDescent="0.25">
      <c r="A297" s="714" t="s">
        <v>726</v>
      </c>
      <c r="B297" s="714">
        <v>2202244410</v>
      </c>
      <c r="C297" s="715">
        <v>44616</v>
      </c>
      <c r="D297" s="714" t="s">
        <v>867</v>
      </c>
      <c r="E297" s="714">
        <v>0</v>
      </c>
      <c r="F297" s="714">
        <v>877987.16</v>
      </c>
      <c r="G297" s="714">
        <v>-1944702.44</v>
      </c>
    </row>
    <row r="298" spans="1:7" hidden="1" x14ac:dyDescent="0.25">
      <c r="A298" s="714" t="s">
        <v>726</v>
      </c>
      <c r="B298" s="714">
        <v>2202255455</v>
      </c>
      <c r="C298" s="715">
        <v>44617</v>
      </c>
      <c r="D298" s="714" t="s">
        <v>730</v>
      </c>
      <c r="E298" s="714">
        <v>771141.01</v>
      </c>
      <c r="G298" s="714">
        <v>-1173561.43</v>
      </c>
    </row>
    <row r="299" spans="1:7" x14ac:dyDescent="0.25">
      <c r="A299" s="714" t="s">
        <v>726</v>
      </c>
      <c r="B299" s="714">
        <v>2202255456</v>
      </c>
      <c r="C299" s="715">
        <v>44617</v>
      </c>
      <c r="D299" s="714" t="s">
        <v>868</v>
      </c>
      <c r="E299" s="714">
        <v>0</v>
      </c>
      <c r="F299" s="714">
        <v>1321437.78</v>
      </c>
      <c r="G299" s="714">
        <v>-2494999.21</v>
      </c>
    </row>
    <row r="300" spans="1:7" hidden="1" x14ac:dyDescent="0.25">
      <c r="A300" s="714" t="s">
        <v>726</v>
      </c>
      <c r="B300" s="714">
        <v>2202265487</v>
      </c>
      <c r="C300" s="715">
        <v>44618</v>
      </c>
      <c r="D300" s="714" t="s">
        <v>730</v>
      </c>
      <c r="E300" s="714">
        <v>1162244.69</v>
      </c>
      <c r="G300" s="714">
        <v>-1332754.52</v>
      </c>
    </row>
    <row r="301" spans="1:7" x14ac:dyDescent="0.25">
      <c r="A301" s="714" t="s">
        <v>726</v>
      </c>
      <c r="B301" s="714">
        <v>2202265488</v>
      </c>
      <c r="C301" s="715">
        <v>44618</v>
      </c>
      <c r="D301" s="714" t="s">
        <v>869</v>
      </c>
      <c r="E301" s="714">
        <v>0</v>
      </c>
      <c r="F301" s="714">
        <v>1391288.09</v>
      </c>
      <c r="G301" s="714">
        <v>-2724042.61</v>
      </c>
    </row>
    <row r="302" spans="1:7" hidden="1" x14ac:dyDescent="0.25">
      <c r="A302" s="714" t="s">
        <v>726</v>
      </c>
      <c r="B302" s="714">
        <v>2202275495</v>
      </c>
      <c r="C302" s="715">
        <v>44619</v>
      </c>
      <c r="D302" s="714" t="s">
        <v>730</v>
      </c>
      <c r="E302" s="714">
        <v>1223687.04</v>
      </c>
      <c r="G302" s="714">
        <v>-1500355.57</v>
      </c>
    </row>
    <row r="303" spans="1:7" x14ac:dyDescent="0.25">
      <c r="A303" s="714" t="s">
        <v>726</v>
      </c>
      <c r="B303" s="714">
        <v>2202275496</v>
      </c>
      <c r="C303" s="715">
        <v>44619</v>
      </c>
      <c r="D303" s="714" t="s">
        <v>870</v>
      </c>
      <c r="E303" s="714">
        <v>0</v>
      </c>
      <c r="F303" s="714">
        <v>1389815.98</v>
      </c>
      <c r="G303" s="714">
        <v>-2890171.55</v>
      </c>
    </row>
    <row r="304" spans="1:7" hidden="1" x14ac:dyDescent="0.25">
      <c r="A304" s="714" t="s">
        <v>726</v>
      </c>
      <c r="B304" s="714">
        <v>2202287443</v>
      </c>
      <c r="C304" s="715">
        <v>44620</v>
      </c>
      <c r="D304" s="714" t="s">
        <v>730</v>
      </c>
      <c r="E304" s="714">
        <v>1222397.8999999999</v>
      </c>
      <c r="G304" s="714">
        <v>-1667773.65</v>
      </c>
    </row>
    <row r="305" spans="1:7" x14ac:dyDescent="0.25">
      <c r="A305" s="714" t="s">
        <v>726</v>
      </c>
      <c r="B305" s="714">
        <v>2202287444</v>
      </c>
      <c r="C305" s="715">
        <v>44620</v>
      </c>
      <c r="D305" s="714" t="s">
        <v>871</v>
      </c>
      <c r="E305" s="714">
        <v>0</v>
      </c>
      <c r="F305" s="714">
        <v>1206854.95</v>
      </c>
      <c r="G305" s="714">
        <v>-2874628.6</v>
      </c>
    </row>
    <row r="306" spans="1:7" hidden="1" x14ac:dyDescent="0.25">
      <c r="A306" s="714" t="s">
        <v>726</v>
      </c>
      <c r="B306" s="714">
        <v>2203018779</v>
      </c>
      <c r="C306" s="715">
        <v>44621</v>
      </c>
      <c r="D306" s="714" t="s">
        <v>730</v>
      </c>
      <c r="E306" s="714">
        <v>1062543.83</v>
      </c>
      <c r="G306" s="714">
        <v>-1812084.77</v>
      </c>
    </row>
    <row r="307" spans="1:7" x14ac:dyDescent="0.25">
      <c r="A307" s="714" t="s">
        <v>726</v>
      </c>
      <c r="B307" s="714">
        <v>2203018780</v>
      </c>
      <c r="C307" s="715">
        <v>44621</v>
      </c>
      <c r="D307" s="714" t="s">
        <v>872</v>
      </c>
      <c r="E307" s="714">
        <v>0</v>
      </c>
      <c r="F307" s="714">
        <v>1382700.86</v>
      </c>
      <c r="G307" s="714">
        <v>-3194785.63</v>
      </c>
    </row>
    <row r="308" spans="1:7" x14ac:dyDescent="0.25">
      <c r="A308" s="714" t="s">
        <v>726</v>
      </c>
      <c r="B308" s="714">
        <v>2203029848</v>
      </c>
      <c r="C308" s="715">
        <v>44622</v>
      </c>
      <c r="D308" s="714" t="s">
        <v>873</v>
      </c>
      <c r="E308" s="714">
        <v>0</v>
      </c>
      <c r="F308" s="714">
        <v>1268206.5</v>
      </c>
      <c r="G308" s="714">
        <v>-3245744.32</v>
      </c>
    </row>
    <row r="309" spans="1:7" hidden="1" x14ac:dyDescent="0.25">
      <c r="A309" s="714" t="s">
        <v>726</v>
      </c>
      <c r="B309" s="714">
        <v>2203029847</v>
      </c>
      <c r="C309" s="715">
        <v>44622</v>
      </c>
      <c r="D309" s="714" t="s">
        <v>730</v>
      </c>
      <c r="E309" s="714">
        <v>1217247.81</v>
      </c>
      <c r="G309" s="714">
        <v>-1977537.82</v>
      </c>
    </row>
    <row r="310" spans="1:7" x14ac:dyDescent="0.25">
      <c r="A310" s="714" t="s">
        <v>726</v>
      </c>
      <c r="B310" s="714">
        <v>2203030886</v>
      </c>
      <c r="C310" s="715">
        <v>44623</v>
      </c>
      <c r="D310" s="714" t="s">
        <v>874</v>
      </c>
      <c r="E310" s="714">
        <v>0</v>
      </c>
      <c r="F310" s="714">
        <v>1124618.5900000001</v>
      </c>
      <c r="G310" s="714">
        <v>-2080804.48</v>
      </c>
    </row>
    <row r="311" spans="1:7" hidden="1" x14ac:dyDescent="0.25">
      <c r="A311" s="714" t="s">
        <v>726</v>
      </c>
      <c r="B311" s="714">
        <v>2203030885</v>
      </c>
      <c r="C311" s="715">
        <v>44623</v>
      </c>
      <c r="D311" s="714" t="s">
        <v>730</v>
      </c>
      <c r="E311" s="714">
        <v>1115948.43</v>
      </c>
      <c r="G311" s="714">
        <v>-956185.89</v>
      </c>
    </row>
    <row r="312" spans="1:7" hidden="1" x14ac:dyDescent="0.25">
      <c r="A312" s="714" t="s">
        <v>726</v>
      </c>
      <c r="B312" s="714">
        <v>2203030210</v>
      </c>
      <c r="C312" s="715">
        <v>44623</v>
      </c>
      <c r="D312" s="714" t="s">
        <v>734</v>
      </c>
      <c r="E312" s="714">
        <v>1173610</v>
      </c>
      <c r="G312" s="714">
        <v>-2072134.32</v>
      </c>
    </row>
    <row r="313" spans="1:7" x14ac:dyDescent="0.25">
      <c r="A313" s="714" t="s">
        <v>726</v>
      </c>
      <c r="B313" s="714">
        <v>2203041924</v>
      </c>
      <c r="C313" s="715">
        <v>44624</v>
      </c>
      <c r="D313" s="714" t="s">
        <v>875</v>
      </c>
      <c r="E313" s="714">
        <v>0</v>
      </c>
      <c r="F313" s="714">
        <v>1180584.1000000001</v>
      </c>
      <c r="G313" s="714">
        <v>-2273014.1</v>
      </c>
    </row>
    <row r="314" spans="1:7" hidden="1" x14ac:dyDescent="0.25">
      <c r="A314" s="714" t="s">
        <v>726</v>
      </c>
      <c r="B314" s="714">
        <v>2203041923</v>
      </c>
      <c r="C314" s="715">
        <v>44624</v>
      </c>
      <c r="D314" s="714" t="s">
        <v>730</v>
      </c>
      <c r="E314" s="714">
        <v>988374.48</v>
      </c>
      <c r="G314" s="714">
        <v>-1092430</v>
      </c>
    </row>
    <row r="315" spans="1:7" hidden="1" x14ac:dyDescent="0.25">
      <c r="A315" s="714" t="s">
        <v>726</v>
      </c>
      <c r="B315" s="714">
        <v>2203051929</v>
      </c>
      <c r="C315" s="715">
        <v>44625</v>
      </c>
      <c r="D315" s="714" t="s">
        <v>730</v>
      </c>
      <c r="E315" s="714">
        <v>1031223</v>
      </c>
      <c r="G315" s="714">
        <v>-1241791.1000000001</v>
      </c>
    </row>
    <row r="316" spans="1:7" x14ac:dyDescent="0.25">
      <c r="A316" s="714" t="s">
        <v>726</v>
      </c>
      <c r="B316" s="714">
        <v>2203051930</v>
      </c>
      <c r="C316" s="715">
        <v>44625</v>
      </c>
      <c r="D316" s="714" t="s">
        <v>876</v>
      </c>
      <c r="E316" s="714">
        <v>0</v>
      </c>
      <c r="F316" s="714">
        <v>1224804.02</v>
      </c>
      <c r="G316" s="714">
        <v>-2466595.12</v>
      </c>
    </row>
    <row r="317" spans="1:7" x14ac:dyDescent="0.25">
      <c r="A317" s="714" t="s">
        <v>726</v>
      </c>
      <c r="B317" s="714">
        <v>2203061952</v>
      </c>
      <c r="C317" s="715">
        <v>44626</v>
      </c>
      <c r="D317" s="714" t="s">
        <v>877</v>
      </c>
      <c r="E317" s="714">
        <v>0</v>
      </c>
      <c r="F317" s="714">
        <v>1224916.99</v>
      </c>
      <c r="G317" s="714">
        <v>-2621657.12</v>
      </c>
    </row>
    <row r="318" spans="1:7" hidden="1" x14ac:dyDescent="0.25">
      <c r="A318" s="714" t="s">
        <v>726</v>
      </c>
      <c r="B318" s="714">
        <v>2203061951</v>
      </c>
      <c r="C318" s="715">
        <v>44626</v>
      </c>
      <c r="D318" s="714" t="s">
        <v>730</v>
      </c>
      <c r="E318" s="714">
        <v>1069854.99</v>
      </c>
      <c r="G318" s="714">
        <v>-1396740.13</v>
      </c>
    </row>
    <row r="319" spans="1:7" hidden="1" x14ac:dyDescent="0.25">
      <c r="A319" s="714" t="s">
        <v>726</v>
      </c>
      <c r="B319" s="714">
        <v>2203073381</v>
      </c>
      <c r="C319" s="715">
        <v>44627</v>
      </c>
      <c r="D319" s="714" t="s">
        <v>730</v>
      </c>
      <c r="E319" s="714">
        <v>1069956.8500000001</v>
      </c>
      <c r="G319" s="714">
        <v>-1551700.27</v>
      </c>
    </row>
    <row r="320" spans="1:7" x14ac:dyDescent="0.25">
      <c r="A320" s="714" t="s">
        <v>726</v>
      </c>
      <c r="B320" s="714">
        <v>2203085230</v>
      </c>
      <c r="C320" s="715">
        <v>44628</v>
      </c>
      <c r="D320" s="714" t="s">
        <v>878</v>
      </c>
      <c r="F320" s="714">
        <v>1172492</v>
      </c>
      <c r="G320" s="714">
        <v>-2724192.27</v>
      </c>
    </row>
    <row r="321" spans="1:7" hidden="1" x14ac:dyDescent="0.25">
      <c r="A321" s="714" t="s">
        <v>726</v>
      </c>
      <c r="B321" s="714">
        <v>2203096283</v>
      </c>
      <c r="C321" s="715">
        <v>44629</v>
      </c>
      <c r="D321" s="714" t="s">
        <v>730</v>
      </c>
      <c r="E321" s="714">
        <v>1022085.87</v>
      </c>
      <c r="G321" s="714">
        <v>-1702106.4</v>
      </c>
    </row>
    <row r="322" spans="1:7" x14ac:dyDescent="0.25">
      <c r="A322" s="714" t="s">
        <v>726</v>
      </c>
      <c r="B322" s="714">
        <v>2203096405</v>
      </c>
      <c r="C322" s="715">
        <v>44629</v>
      </c>
      <c r="D322" s="714" t="s">
        <v>879</v>
      </c>
      <c r="E322" s="714">
        <v>0</v>
      </c>
      <c r="F322" s="714">
        <v>1407528.41</v>
      </c>
      <c r="G322" s="714">
        <v>-3109634.81</v>
      </c>
    </row>
    <row r="323" spans="1:7" x14ac:dyDescent="0.25">
      <c r="A323" s="714" t="s">
        <v>726</v>
      </c>
      <c r="B323" s="714">
        <v>2203107310</v>
      </c>
      <c r="C323" s="715">
        <v>44630</v>
      </c>
      <c r="D323" s="714" t="s">
        <v>880</v>
      </c>
      <c r="E323" s="714">
        <v>0</v>
      </c>
      <c r="F323" s="714">
        <v>1576573.79</v>
      </c>
      <c r="G323" s="714">
        <v>-3459714.28</v>
      </c>
    </row>
    <row r="324" spans="1:7" hidden="1" x14ac:dyDescent="0.25">
      <c r="A324" s="714" t="s">
        <v>726</v>
      </c>
      <c r="B324" s="714">
        <v>2203107309</v>
      </c>
      <c r="C324" s="715">
        <v>44630</v>
      </c>
      <c r="D324" s="714" t="s">
        <v>730</v>
      </c>
      <c r="E324" s="714">
        <v>1226494.32</v>
      </c>
      <c r="G324" s="714">
        <v>-1883140.49</v>
      </c>
    </row>
    <row r="325" spans="1:7" x14ac:dyDescent="0.25">
      <c r="A325" s="714" t="s">
        <v>726</v>
      </c>
      <c r="B325" s="714">
        <v>2203118398</v>
      </c>
      <c r="C325" s="715">
        <v>44631</v>
      </c>
      <c r="D325" s="714" t="s">
        <v>881</v>
      </c>
      <c r="E325" s="714">
        <v>0</v>
      </c>
      <c r="F325" s="714">
        <v>1664340.36</v>
      </c>
      <c r="G325" s="714">
        <v>-3751967.9</v>
      </c>
    </row>
    <row r="326" spans="1:7" hidden="1" x14ac:dyDescent="0.25">
      <c r="A326" s="714" t="s">
        <v>726</v>
      </c>
      <c r="B326" s="714">
        <v>2203118397</v>
      </c>
      <c r="C326" s="715">
        <v>44631</v>
      </c>
      <c r="D326" s="714" t="s">
        <v>730</v>
      </c>
      <c r="E326" s="714">
        <v>1372086.74</v>
      </c>
      <c r="G326" s="714">
        <v>-2087627.54</v>
      </c>
    </row>
    <row r="327" spans="1:7" x14ac:dyDescent="0.25">
      <c r="A327" s="714" t="s">
        <v>726</v>
      </c>
      <c r="B327" s="714">
        <v>2203128414</v>
      </c>
      <c r="C327" s="715">
        <v>44632</v>
      </c>
      <c r="D327" s="714" t="s">
        <v>882</v>
      </c>
      <c r="E327" s="714">
        <v>0</v>
      </c>
      <c r="F327" s="714">
        <v>1668694.03</v>
      </c>
      <c r="G327" s="714">
        <v>-3974352.64</v>
      </c>
    </row>
    <row r="328" spans="1:7" hidden="1" x14ac:dyDescent="0.25">
      <c r="A328" s="714" t="s">
        <v>726</v>
      </c>
      <c r="B328" s="714">
        <v>2203128413</v>
      </c>
      <c r="C328" s="715">
        <v>44632</v>
      </c>
      <c r="D328" s="714" t="s">
        <v>730</v>
      </c>
      <c r="E328" s="714">
        <v>1446309.29</v>
      </c>
      <c r="G328" s="714">
        <v>-2305658.61</v>
      </c>
    </row>
    <row r="329" spans="1:7" x14ac:dyDescent="0.25">
      <c r="A329" s="714" t="s">
        <v>726</v>
      </c>
      <c r="B329" s="714">
        <v>2203138428</v>
      </c>
      <c r="C329" s="715">
        <v>44633</v>
      </c>
      <c r="D329" s="714" t="s">
        <v>883</v>
      </c>
      <c r="E329" s="714">
        <v>0</v>
      </c>
      <c r="F329" s="714">
        <v>1669173.98</v>
      </c>
      <c r="G329" s="714">
        <v>-4193428.62</v>
      </c>
    </row>
    <row r="330" spans="1:7" hidden="1" x14ac:dyDescent="0.25">
      <c r="A330" s="714" t="s">
        <v>726</v>
      </c>
      <c r="B330" s="714">
        <v>2203138427</v>
      </c>
      <c r="C330" s="715">
        <v>44633</v>
      </c>
      <c r="D330" s="714" t="s">
        <v>730</v>
      </c>
      <c r="E330" s="714">
        <v>1450098</v>
      </c>
      <c r="G330" s="714">
        <v>-2524254.64</v>
      </c>
    </row>
    <row r="331" spans="1:7" x14ac:dyDescent="0.25">
      <c r="A331" s="714" t="s">
        <v>726</v>
      </c>
      <c r="B331" s="714">
        <v>2203140306</v>
      </c>
      <c r="C331" s="715">
        <v>44634</v>
      </c>
      <c r="D331" s="714" t="s">
        <v>884</v>
      </c>
      <c r="E331" s="714">
        <v>0</v>
      </c>
      <c r="F331" s="714">
        <v>1867338.97</v>
      </c>
      <c r="G331" s="714">
        <v>-4610244.7300000004</v>
      </c>
    </row>
    <row r="332" spans="1:7" hidden="1" x14ac:dyDescent="0.25">
      <c r="A332" s="714" t="s">
        <v>726</v>
      </c>
      <c r="B332" s="714">
        <v>2203140305</v>
      </c>
      <c r="C332" s="715">
        <v>44634</v>
      </c>
      <c r="D332" s="714" t="s">
        <v>730</v>
      </c>
      <c r="E332" s="714">
        <v>1450522.86</v>
      </c>
      <c r="G332" s="714">
        <v>-2742905.76</v>
      </c>
    </row>
    <row r="333" spans="1:7" hidden="1" x14ac:dyDescent="0.25">
      <c r="A333" s="714" t="s">
        <v>726</v>
      </c>
      <c r="B333" s="714">
        <v>2203149373</v>
      </c>
      <c r="C333" s="715">
        <v>44634</v>
      </c>
      <c r="D333" s="714" t="s">
        <v>734</v>
      </c>
      <c r="E333" s="714">
        <v>995186</v>
      </c>
      <c r="G333" s="714">
        <v>-3615058.73</v>
      </c>
    </row>
    <row r="334" spans="1:7" hidden="1" x14ac:dyDescent="0.25">
      <c r="A334" s="714" t="s">
        <v>726</v>
      </c>
      <c r="B334" s="714">
        <v>2203151313</v>
      </c>
      <c r="C334" s="715">
        <v>44635</v>
      </c>
      <c r="D334" s="714" t="s">
        <v>730</v>
      </c>
      <c r="E334" s="714">
        <v>1625917.98</v>
      </c>
      <c r="G334" s="714">
        <v>-896662.75</v>
      </c>
    </row>
    <row r="335" spans="1:7" hidden="1" x14ac:dyDescent="0.25">
      <c r="A335" s="714" t="s">
        <v>726</v>
      </c>
      <c r="B335" s="714">
        <v>2203150611</v>
      </c>
      <c r="C335" s="715">
        <v>44635</v>
      </c>
      <c r="D335" s="714" t="s">
        <v>734</v>
      </c>
      <c r="E335" s="714">
        <v>1092478</v>
      </c>
      <c r="G335" s="714">
        <v>-2522580.73</v>
      </c>
    </row>
    <row r="336" spans="1:7" x14ac:dyDescent="0.25">
      <c r="A336" s="714" t="s">
        <v>726</v>
      </c>
      <c r="B336" s="714">
        <v>2203151314</v>
      </c>
      <c r="C336" s="715">
        <v>44635</v>
      </c>
      <c r="D336" s="714" t="s">
        <v>885</v>
      </c>
      <c r="E336" s="714">
        <v>0</v>
      </c>
      <c r="F336" s="714">
        <v>1895985.54</v>
      </c>
      <c r="G336" s="714">
        <v>-2792648.29</v>
      </c>
    </row>
  </sheetData>
  <autoFilter ref="A2:G336">
    <filterColumn colId="5">
      <customFilters>
        <customFilter operator="notEqual" val=" "/>
      </customFilters>
    </filterColumn>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46"/>
  <sheetViews>
    <sheetView showGridLines="0" topLeftCell="A15" workbookViewId="0">
      <selection activeCell="E28" sqref="E28"/>
    </sheetView>
  </sheetViews>
  <sheetFormatPr defaultColWidth="9" defaultRowHeight="12.75" x14ac:dyDescent="0.2"/>
  <cols>
    <col min="1" max="1" width="5.625" style="52" customWidth="1"/>
    <col min="2" max="2" width="13.375" style="52" customWidth="1"/>
    <col min="3" max="3" width="7.125" style="52" customWidth="1"/>
    <col min="4" max="4" width="6.125" style="52" customWidth="1"/>
    <col min="5" max="5" width="10" style="52" bestFit="1" customWidth="1"/>
    <col min="6" max="6" width="8.125" style="52" bestFit="1" customWidth="1"/>
    <col min="7" max="7" width="10" style="52" bestFit="1" customWidth="1"/>
    <col min="8" max="9" width="7.125" style="52" customWidth="1"/>
    <col min="10" max="11" width="7" style="52" bestFit="1" customWidth="1"/>
    <col min="12" max="12" width="5.625" style="52" customWidth="1"/>
    <col min="13" max="13" width="9" style="656"/>
    <col min="14" max="14" width="10.5" style="52" bestFit="1" customWidth="1"/>
    <col min="15" max="16384" width="9" style="52"/>
  </cols>
  <sheetData>
    <row r="1" spans="1:18" x14ac:dyDescent="0.2">
      <c r="L1" s="666"/>
    </row>
    <row r="2" spans="1:18" s="349" customFormat="1" x14ac:dyDescent="0.25">
      <c r="A2" s="549">
        <v>5.0999999999999996</v>
      </c>
      <c r="B2" s="550" t="s">
        <v>109</v>
      </c>
      <c r="C2" s="347"/>
      <c r="D2" s="347"/>
      <c r="E2" s="347"/>
      <c r="F2" s="347"/>
      <c r="G2" s="348"/>
      <c r="H2" s="347"/>
      <c r="I2" s="347"/>
      <c r="J2" s="347"/>
      <c r="K2" s="347"/>
      <c r="L2" s="347"/>
      <c r="M2" s="665"/>
    </row>
    <row r="3" spans="1:18" s="662" customFormat="1" x14ac:dyDescent="0.25">
      <c r="B3" s="468"/>
      <c r="C3" s="468"/>
      <c r="D3" s="468"/>
      <c r="E3" s="664"/>
      <c r="F3" s="468"/>
      <c r="G3" s="468"/>
      <c r="H3" s="468"/>
      <c r="I3" s="468"/>
      <c r="J3" s="664"/>
      <c r="K3" s="468"/>
      <c r="L3" s="468"/>
      <c r="M3" s="663"/>
      <c r="N3" s="468"/>
      <c r="O3" s="468"/>
      <c r="P3" s="468"/>
      <c r="Q3" s="468"/>
      <c r="R3" s="468"/>
    </row>
    <row r="4" spans="1:18" s="369" customFormat="1" x14ac:dyDescent="0.25">
      <c r="A4" s="463"/>
      <c r="B4" s="393"/>
      <c r="C4" s="374"/>
      <c r="D4" s="796" t="s">
        <v>131</v>
      </c>
      <c r="E4" s="797"/>
      <c r="F4" s="797"/>
      <c r="G4" s="798"/>
      <c r="H4" s="796" t="s">
        <v>659</v>
      </c>
      <c r="I4" s="797"/>
      <c r="J4" s="798"/>
      <c r="K4" s="735" t="s">
        <v>151</v>
      </c>
      <c r="L4" s="737"/>
      <c r="M4" s="661"/>
      <c r="N4" s="464"/>
      <c r="O4" s="464"/>
      <c r="P4" s="464"/>
      <c r="Q4" s="464"/>
      <c r="R4" s="464"/>
    </row>
    <row r="5" spans="1:18" s="369" customFormat="1" x14ac:dyDescent="0.25">
      <c r="A5" s="463"/>
      <c r="B5" s="393"/>
      <c r="C5" s="374"/>
      <c r="D5" s="799"/>
      <c r="E5" s="800"/>
      <c r="F5" s="800"/>
      <c r="G5" s="801"/>
      <c r="H5" s="799"/>
      <c r="I5" s="800"/>
      <c r="J5" s="801"/>
      <c r="K5" s="802"/>
      <c r="L5" s="803"/>
      <c r="M5" s="661"/>
      <c r="N5" s="464"/>
      <c r="O5" s="464"/>
      <c r="P5" s="464"/>
      <c r="Q5" s="464"/>
      <c r="R5" s="464"/>
    </row>
    <row r="6" spans="1:18" s="369" customFormat="1" ht="51" x14ac:dyDescent="0.25">
      <c r="A6" s="463"/>
      <c r="B6" s="397" t="s">
        <v>139</v>
      </c>
      <c r="C6" s="398" t="s">
        <v>138</v>
      </c>
      <c r="D6" s="465" t="s">
        <v>657</v>
      </c>
      <c r="E6" s="465" t="s">
        <v>130</v>
      </c>
      <c r="F6" s="399" t="s">
        <v>137</v>
      </c>
      <c r="G6" s="465" t="s">
        <v>658</v>
      </c>
      <c r="H6" s="465" t="s">
        <v>129</v>
      </c>
      <c r="I6" s="399" t="s">
        <v>128</v>
      </c>
      <c r="J6" s="399" t="s">
        <v>136</v>
      </c>
      <c r="K6" s="399" t="s">
        <v>656</v>
      </c>
      <c r="L6" s="399" t="s">
        <v>153</v>
      </c>
      <c r="M6" s="661"/>
      <c r="N6" s="464"/>
      <c r="O6" s="464"/>
      <c r="P6" s="464"/>
      <c r="Q6" s="464"/>
      <c r="R6" s="464"/>
    </row>
    <row r="7" spans="1:18" s="396" customFormat="1" x14ac:dyDescent="0.25">
      <c r="A7" s="392"/>
      <c r="B7" s="393"/>
      <c r="C7" s="394"/>
      <c r="D7" s="804" t="s">
        <v>135</v>
      </c>
      <c r="E7" s="804"/>
      <c r="F7" s="804"/>
      <c r="G7" s="804"/>
      <c r="H7" s="804"/>
      <c r="I7" s="804"/>
      <c r="J7" s="804"/>
      <c r="K7" s="805" t="s">
        <v>134</v>
      </c>
      <c r="L7" s="805"/>
      <c r="M7" s="660"/>
      <c r="N7" s="395"/>
      <c r="O7" s="395"/>
      <c r="P7" s="395"/>
      <c r="Q7" s="395"/>
      <c r="R7" s="395"/>
    </row>
    <row r="8" spans="1:18" s="549" customFormat="1" x14ac:dyDescent="0.25">
      <c r="B8" s="322" t="s">
        <v>133</v>
      </c>
      <c r="C8" s="350"/>
      <c r="D8" s="65"/>
      <c r="E8" s="65"/>
      <c r="F8" s="65"/>
      <c r="G8" s="65"/>
      <c r="H8" s="65"/>
      <c r="I8" s="65"/>
      <c r="J8" s="65"/>
      <c r="K8" s="313"/>
      <c r="L8" s="313"/>
      <c r="M8" s="657"/>
      <c r="N8" s="402"/>
      <c r="O8" s="315"/>
      <c r="P8" s="315"/>
      <c r="Q8" s="315"/>
      <c r="R8" s="550"/>
    </row>
    <row r="9" spans="1:18" s="549" customFormat="1" x14ac:dyDescent="0.25">
      <c r="B9" s="322"/>
      <c r="C9" s="350"/>
      <c r="D9" s="65"/>
      <c r="E9" s="65"/>
      <c r="F9" s="65"/>
      <c r="G9" s="65"/>
      <c r="H9" s="65"/>
      <c r="I9" s="65"/>
      <c r="J9" s="65"/>
      <c r="K9" s="313"/>
      <c r="L9" s="313"/>
      <c r="M9" s="657"/>
      <c r="N9" s="402"/>
      <c r="O9" s="315"/>
      <c r="P9" s="315"/>
      <c r="Q9" s="315"/>
      <c r="R9" s="550"/>
    </row>
    <row r="10" spans="1:18" s="549" customFormat="1" x14ac:dyDescent="0.25">
      <c r="B10" s="321" t="s">
        <v>132</v>
      </c>
      <c r="C10" s="402">
        <v>44476</v>
      </c>
      <c r="D10" s="315">
        <v>0</v>
      </c>
      <c r="E10" s="315">
        <v>7000000</v>
      </c>
      <c r="F10" s="315">
        <v>7000000</v>
      </c>
      <c r="G10" s="315">
        <f t="shared" ref="G10:G23" si="0">D10+E10-F10</f>
        <v>0</v>
      </c>
      <c r="H10" s="315">
        <v>0</v>
      </c>
      <c r="I10" s="315">
        <v>0</v>
      </c>
      <c r="J10" s="65">
        <v>0</v>
      </c>
      <c r="K10" s="65">
        <v>0</v>
      </c>
      <c r="L10" s="65">
        <v>0</v>
      </c>
      <c r="M10" s="657"/>
      <c r="N10" s="402"/>
      <c r="O10" s="315"/>
      <c r="P10" s="315"/>
      <c r="Q10" s="315"/>
      <c r="R10" s="550"/>
    </row>
    <row r="11" spans="1:18" s="549" customFormat="1" x14ac:dyDescent="0.25">
      <c r="B11" s="321" t="s">
        <v>132</v>
      </c>
      <c r="C11" s="402">
        <v>44546</v>
      </c>
      <c r="D11" s="315">
        <v>0</v>
      </c>
      <c r="E11" s="315">
        <v>8000000</v>
      </c>
      <c r="F11" s="315">
        <v>8000000</v>
      </c>
      <c r="G11" s="315">
        <f t="shared" ref="G11:G16" si="1">D11+E11-F11</f>
        <v>0</v>
      </c>
      <c r="H11" s="315">
        <v>0</v>
      </c>
      <c r="I11" s="315">
        <v>0</v>
      </c>
      <c r="J11" s="65">
        <v>0</v>
      </c>
      <c r="K11" s="65">
        <v>0</v>
      </c>
      <c r="L11" s="65">
        <v>0</v>
      </c>
      <c r="M11" s="657"/>
      <c r="N11" s="402"/>
      <c r="O11" s="315"/>
      <c r="P11" s="315"/>
      <c r="Q11" s="315"/>
      <c r="R11" s="550"/>
    </row>
    <row r="12" spans="1:18" s="549" customFormat="1" x14ac:dyDescent="0.25">
      <c r="B12" s="321" t="s">
        <v>132</v>
      </c>
      <c r="C12" s="402">
        <v>44574</v>
      </c>
      <c r="D12" s="315"/>
      <c r="E12" s="315">
        <v>385000</v>
      </c>
      <c r="F12" s="315">
        <v>385000</v>
      </c>
      <c r="G12" s="315">
        <f t="shared" si="1"/>
        <v>0</v>
      </c>
      <c r="H12" s="315">
        <v>0</v>
      </c>
      <c r="I12" s="315">
        <v>0</v>
      </c>
      <c r="J12" s="65">
        <v>0</v>
      </c>
      <c r="K12" s="65">
        <v>0</v>
      </c>
      <c r="L12" s="65">
        <v>0</v>
      </c>
      <c r="M12" s="657"/>
      <c r="N12" s="402"/>
      <c r="O12" s="315"/>
      <c r="P12" s="315"/>
      <c r="Q12" s="315"/>
      <c r="R12" s="550"/>
    </row>
    <row r="13" spans="1:18" s="549" customFormat="1" x14ac:dyDescent="0.25">
      <c r="B13" s="321" t="s">
        <v>132</v>
      </c>
      <c r="C13" s="402">
        <v>44504</v>
      </c>
      <c r="D13" s="315"/>
      <c r="E13" s="315">
        <v>500000</v>
      </c>
      <c r="F13" s="315">
        <v>500000</v>
      </c>
      <c r="G13" s="315">
        <f t="shared" si="1"/>
        <v>0</v>
      </c>
      <c r="H13" s="315">
        <v>0</v>
      </c>
      <c r="I13" s="315">
        <v>0</v>
      </c>
      <c r="J13" s="65">
        <v>0</v>
      </c>
      <c r="K13" s="65">
        <v>0</v>
      </c>
      <c r="L13" s="65">
        <v>0</v>
      </c>
      <c r="M13" s="657"/>
      <c r="N13" s="402"/>
      <c r="O13" s="315"/>
      <c r="P13" s="315"/>
      <c r="Q13" s="315"/>
      <c r="R13" s="550"/>
    </row>
    <row r="14" spans="1:18" s="549" customFormat="1" x14ac:dyDescent="0.25">
      <c r="B14" s="321" t="s">
        <v>132</v>
      </c>
      <c r="C14" s="402">
        <v>44392</v>
      </c>
      <c r="D14" s="315"/>
      <c r="E14" s="315">
        <v>1300000</v>
      </c>
      <c r="F14" s="315">
        <v>1300000</v>
      </c>
      <c r="G14" s="315">
        <f t="shared" si="1"/>
        <v>0</v>
      </c>
      <c r="H14" s="315">
        <v>0</v>
      </c>
      <c r="I14" s="315">
        <v>0</v>
      </c>
      <c r="J14" s="65">
        <v>0</v>
      </c>
      <c r="K14" s="65">
        <v>0</v>
      </c>
      <c r="L14" s="65">
        <v>0</v>
      </c>
      <c r="M14" s="657"/>
      <c r="N14" s="402"/>
      <c r="O14" s="315"/>
      <c r="P14" s="315"/>
      <c r="Q14" s="315"/>
      <c r="R14" s="550"/>
    </row>
    <row r="15" spans="1:18" s="549" customFormat="1" x14ac:dyDescent="0.25">
      <c r="B15" s="321" t="s">
        <v>132</v>
      </c>
      <c r="C15" s="402">
        <v>44379</v>
      </c>
      <c r="D15" s="315">
        <v>0</v>
      </c>
      <c r="E15" s="315">
        <v>500000</v>
      </c>
      <c r="F15" s="315">
        <v>500000</v>
      </c>
      <c r="G15" s="315">
        <f t="shared" si="1"/>
        <v>0</v>
      </c>
      <c r="H15" s="315">
        <v>0</v>
      </c>
      <c r="I15" s="315">
        <v>0</v>
      </c>
      <c r="J15" s="65">
        <v>0</v>
      </c>
      <c r="K15" s="65">
        <v>0</v>
      </c>
      <c r="L15" s="65">
        <v>0</v>
      </c>
      <c r="M15" s="657"/>
      <c r="N15" s="550"/>
      <c r="O15" s="550"/>
      <c r="P15" s="550"/>
      <c r="Q15" s="643"/>
      <c r="R15" s="550"/>
    </row>
    <row r="16" spans="1:18" s="549" customFormat="1" x14ac:dyDescent="0.25">
      <c r="B16" s="321" t="s">
        <v>132</v>
      </c>
      <c r="C16" s="402">
        <v>44560</v>
      </c>
      <c r="D16" s="315">
        <v>0</v>
      </c>
      <c r="E16" s="315">
        <v>6500000</v>
      </c>
      <c r="F16" s="315">
        <v>6500000</v>
      </c>
      <c r="G16" s="315">
        <f t="shared" si="1"/>
        <v>0</v>
      </c>
      <c r="H16" s="315">
        <v>0</v>
      </c>
      <c r="I16" s="315">
        <v>0</v>
      </c>
      <c r="J16" s="65">
        <v>0</v>
      </c>
      <c r="K16" s="65">
        <v>0</v>
      </c>
      <c r="L16" s="65">
        <v>0</v>
      </c>
      <c r="M16" s="658"/>
      <c r="N16" s="550"/>
      <c r="O16" s="550"/>
      <c r="P16" s="550"/>
      <c r="Q16" s="643"/>
      <c r="R16" s="550"/>
    </row>
    <row r="17" spans="2:18" s="549" customFormat="1" x14ac:dyDescent="0.25">
      <c r="B17" s="321" t="s">
        <v>132</v>
      </c>
      <c r="C17" s="402">
        <v>44462</v>
      </c>
      <c r="D17" s="315">
        <v>0</v>
      </c>
      <c r="E17" s="315">
        <v>1000000</v>
      </c>
      <c r="F17" s="315">
        <v>1000000</v>
      </c>
      <c r="G17" s="315">
        <f t="shared" si="0"/>
        <v>0</v>
      </c>
      <c r="H17" s="315">
        <v>0</v>
      </c>
      <c r="I17" s="315">
        <v>0</v>
      </c>
      <c r="J17" s="65">
        <v>0</v>
      </c>
      <c r="K17" s="65">
        <v>0</v>
      </c>
      <c r="L17" s="65">
        <v>0</v>
      </c>
      <c r="M17" s="657"/>
      <c r="N17" s="550"/>
      <c r="O17" s="550"/>
      <c r="P17" s="550"/>
      <c r="Q17" s="643"/>
      <c r="R17" s="550"/>
    </row>
    <row r="18" spans="2:18" s="549" customFormat="1" x14ac:dyDescent="0.25">
      <c r="B18" s="321" t="s">
        <v>132</v>
      </c>
      <c r="C18" s="402">
        <v>44532</v>
      </c>
      <c r="D18" s="315">
        <v>0</v>
      </c>
      <c r="E18" s="315">
        <v>10500000</v>
      </c>
      <c r="F18" s="315">
        <v>10500000</v>
      </c>
      <c r="G18" s="315">
        <f t="shared" si="0"/>
        <v>0</v>
      </c>
      <c r="H18" s="315">
        <v>0</v>
      </c>
      <c r="I18" s="315">
        <v>0</v>
      </c>
      <c r="J18" s="634">
        <v>0</v>
      </c>
      <c r="K18" s="65">
        <v>0</v>
      </c>
      <c r="L18" s="65">
        <v>0</v>
      </c>
      <c r="M18" s="659"/>
      <c r="N18" s="550"/>
      <c r="O18" s="550"/>
      <c r="P18" s="550"/>
      <c r="Q18" s="643"/>
      <c r="R18" s="550"/>
    </row>
    <row r="19" spans="2:18" s="549" customFormat="1" x14ac:dyDescent="0.25">
      <c r="B19" s="321" t="s">
        <v>132</v>
      </c>
      <c r="C19" s="402">
        <v>44406</v>
      </c>
      <c r="D19" s="315">
        <v>0</v>
      </c>
      <c r="E19" s="315">
        <v>2500000</v>
      </c>
      <c r="F19" s="315">
        <v>2500000</v>
      </c>
      <c r="G19" s="315">
        <f t="shared" si="0"/>
        <v>0</v>
      </c>
      <c r="H19" s="315">
        <v>0</v>
      </c>
      <c r="I19" s="315">
        <v>0</v>
      </c>
      <c r="J19" s="634">
        <v>0</v>
      </c>
      <c r="K19" s="65">
        <v>0</v>
      </c>
      <c r="L19" s="65">
        <v>0</v>
      </c>
      <c r="M19" s="658"/>
      <c r="N19" s="550"/>
      <c r="O19" s="550"/>
      <c r="P19" s="550"/>
      <c r="Q19" s="643"/>
      <c r="R19" s="550"/>
    </row>
    <row r="20" spans="2:18" s="549" customFormat="1" x14ac:dyDescent="0.25">
      <c r="B20" s="321" t="s">
        <v>132</v>
      </c>
      <c r="C20" s="402">
        <v>44322</v>
      </c>
      <c r="D20" s="315">
        <v>0</v>
      </c>
      <c r="E20" s="315">
        <v>550000</v>
      </c>
      <c r="F20" s="315">
        <v>550000</v>
      </c>
      <c r="G20" s="315">
        <f t="shared" si="0"/>
        <v>0</v>
      </c>
      <c r="H20" s="315">
        <v>0</v>
      </c>
      <c r="I20" s="315">
        <v>0</v>
      </c>
      <c r="J20" s="634">
        <v>0</v>
      </c>
      <c r="K20" s="65">
        <v>0</v>
      </c>
      <c r="L20" s="65">
        <v>0</v>
      </c>
      <c r="M20" s="657"/>
      <c r="N20" s="550"/>
      <c r="O20" s="550"/>
      <c r="P20" s="550"/>
      <c r="Q20" s="643"/>
      <c r="R20" s="550"/>
    </row>
    <row r="21" spans="2:18" s="549" customFormat="1" x14ac:dyDescent="0.25">
      <c r="B21" s="321" t="s">
        <v>132</v>
      </c>
      <c r="C21" s="402">
        <v>44420</v>
      </c>
      <c r="D21" s="315">
        <v>0</v>
      </c>
      <c r="E21" s="315">
        <v>4000000</v>
      </c>
      <c r="F21" s="315">
        <v>4000000</v>
      </c>
      <c r="G21" s="315">
        <f t="shared" si="0"/>
        <v>0</v>
      </c>
      <c r="H21" s="315">
        <v>0</v>
      </c>
      <c r="I21" s="315">
        <v>0</v>
      </c>
      <c r="J21" s="634">
        <v>0</v>
      </c>
      <c r="K21" s="65">
        <v>0</v>
      </c>
      <c r="L21" s="65">
        <v>0</v>
      </c>
      <c r="M21" s="658"/>
      <c r="N21" s="550"/>
      <c r="O21" s="550"/>
      <c r="P21" s="550"/>
      <c r="Q21" s="643"/>
      <c r="R21" s="550"/>
    </row>
    <row r="22" spans="2:18" s="549" customFormat="1" x14ac:dyDescent="0.25">
      <c r="B22" s="321" t="s">
        <v>132</v>
      </c>
      <c r="C22" s="402">
        <v>44448</v>
      </c>
      <c r="D22" s="315">
        <v>0</v>
      </c>
      <c r="E22" s="315">
        <v>500000</v>
      </c>
      <c r="F22" s="315">
        <v>500000</v>
      </c>
      <c r="G22" s="315">
        <f t="shared" si="0"/>
        <v>0</v>
      </c>
      <c r="H22" s="315">
        <v>0</v>
      </c>
      <c r="I22" s="315">
        <v>0</v>
      </c>
      <c r="J22" s="634">
        <v>0</v>
      </c>
      <c r="K22" s="65">
        <v>0</v>
      </c>
      <c r="L22" s="65">
        <v>0</v>
      </c>
      <c r="M22" s="659"/>
      <c r="N22" s="550"/>
      <c r="O22" s="550"/>
      <c r="P22" s="550"/>
      <c r="Q22" s="643"/>
      <c r="R22" s="550"/>
    </row>
    <row r="23" spans="2:18" s="549" customFormat="1" x14ac:dyDescent="0.25">
      <c r="B23" s="321" t="s">
        <v>132</v>
      </c>
      <c r="C23" s="402">
        <v>44434</v>
      </c>
      <c r="D23" s="315">
        <v>0</v>
      </c>
      <c r="E23" s="315">
        <v>500000</v>
      </c>
      <c r="F23" s="315">
        <v>500000</v>
      </c>
      <c r="G23" s="315">
        <f t="shared" si="0"/>
        <v>0</v>
      </c>
      <c r="H23" s="315">
        <v>0</v>
      </c>
      <c r="I23" s="315">
        <v>0</v>
      </c>
      <c r="J23" s="634">
        <v>0</v>
      </c>
      <c r="K23" s="65">
        <v>0</v>
      </c>
      <c r="L23" s="547">
        <f>I23/[3]SAL!$F$11</f>
        <v>0</v>
      </c>
      <c r="M23" s="659"/>
      <c r="N23" s="550"/>
      <c r="O23" s="550"/>
      <c r="P23" s="550"/>
      <c r="Q23" s="643"/>
      <c r="R23" s="550"/>
    </row>
    <row r="24" spans="2:18" s="549" customFormat="1" x14ac:dyDescent="0.25">
      <c r="B24" s="321" t="s">
        <v>132</v>
      </c>
      <c r="C24" s="402">
        <v>44588</v>
      </c>
      <c r="D24" s="315">
        <v>0</v>
      </c>
      <c r="E24" s="315">
        <v>500000</v>
      </c>
      <c r="F24" s="315">
        <v>500000</v>
      </c>
      <c r="G24" s="315">
        <v>0</v>
      </c>
      <c r="H24" s="315">
        <v>0</v>
      </c>
      <c r="I24" s="315">
        <v>0</v>
      </c>
      <c r="J24" s="315">
        <v>0</v>
      </c>
      <c r="K24" s="315">
        <v>0</v>
      </c>
      <c r="L24" s="315">
        <v>0</v>
      </c>
      <c r="M24" s="659"/>
      <c r="N24" s="550"/>
      <c r="O24" s="550"/>
      <c r="P24" s="550"/>
      <c r="Q24" s="643"/>
      <c r="R24" s="550"/>
    </row>
    <row r="25" spans="2:18" s="549" customFormat="1" x14ac:dyDescent="0.25">
      <c r="B25" s="321"/>
      <c r="C25" s="402"/>
      <c r="D25" s="315"/>
      <c r="E25" s="315"/>
      <c r="F25" s="315"/>
      <c r="G25" s="315"/>
      <c r="H25" s="315"/>
      <c r="I25" s="315"/>
      <c r="J25" s="634"/>
      <c r="K25" s="547"/>
      <c r="L25" s="490"/>
      <c r="M25" s="659"/>
      <c r="N25" s="550"/>
      <c r="O25" s="550"/>
      <c r="P25" s="550"/>
      <c r="Q25" s="643"/>
      <c r="R25" s="550"/>
    </row>
    <row r="26" spans="2:18" s="549" customFormat="1" x14ac:dyDescent="0.25">
      <c r="B26" s="322" t="s">
        <v>368</v>
      </c>
      <c r="C26" s="402"/>
      <c r="D26" s="315"/>
      <c r="E26" s="315"/>
      <c r="F26" s="315"/>
      <c r="G26" s="315"/>
      <c r="H26" s="315"/>
      <c r="I26" s="315"/>
      <c r="J26" s="634"/>
      <c r="K26" s="547"/>
      <c r="L26" s="490"/>
      <c r="M26" s="659"/>
      <c r="N26" s="550"/>
      <c r="O26" s="550"/>
      <c r="P26" s="550"/>
      <c r="Q26" s="643"/>
      <c r="R26" s="550"/>
    </row>
    <row r="27" spans="2:18" s="549" customFormat="1" x14ac:dyDescent="0.25">
      <c r="B27" s="321" t="s">
        <v>132</v>
      </c>
      <c r="C27" s="402">
        <v>44280</v>
      </c>
      <c r="D27" s="315">
        <v>0</v>
      </c>
      <c r="E27" s="315">
        <v>250000</v>
      </c>
      <c r="F27" s="315">
        <v>250000</v>
      </c>
      <c r="G27" s="315">
        <f t="shared" ref="G27:G35" si="2">D27+E27-F27</f>
        <v>0</v>
      </c>
      <c r="H27" s="315">
        <v>0</v>
      </c>
      <c r="I27" s="315">
        <v>0</v>
      </c>
      <c r="J27" s="547">
        <v>0</v>
      </c>
      <c r="K27" s="547">
        <v>0</v>
      </c>
      <c r="L27" s="547">
        <v>0</v>
      </c>
      <c r="M27" s="658"/>
      <c r="N27" s="550"/>
      <c r="O27" s="550"/>
      <c r="P27" s="550"/>
      <c r="Q27" s="643"/>
      <c r="R27" s="550"/>
    </row>
    <row r="28" spans="2:18" s="549" customFormat="1" x14ac:dyDescent="0.25">
      <c r="B28" s="321" t="s">
        <v>132</v>
      </c>
      <c r="C28" s="402">
        <v>44406</v>
      </c>
      <c r="D28" s="315">
        <v>0</v>
      </c>
      <c r="E28" s="315">
        <v>1500000</v>
      </c>
      <c r="F28" s="315">
        <v>1500000</v>
      </c>
      <c r="G28" s="315">
        <f t="shared" ref="G28:G29" si="3">D28+E28-F28</f>
        <v>0</v>
      </c>
      <c r="H28" s="315">
        <v>0</v>
      </c>
      <c r="I28" s="315">
        <v>0</v>
      </c>
      <c r="J28" s="547">
        <v>0</v>
      </c>
      <c r="K28" s="547">
        <v>0</v>
      </c>
      <c r="L28" s="547">
        <v>0</v>
      </c>
      <c r="M28" s="658"/>
      <c r="N28" s="550"/>
      <c r="O28" s="550"/>
      <c r="P28" s="550"/>
      <c r="Q28" s="643"/>
      <c r="R28" s="550"/>
    </row>
    <row r="29" spans="2:18" s="549" customFormat="1" x14ac:dyDescent="0.25">
      <c r="B29" s="321" t="s">
        <v>132</v>
      </c>
      <c r="C29" s="402">
        <v>44252</v>
      </c>
      <c r="D29" s="315">
        <v>0</v>
      </c>
      <c r="E29" s="315">
        <v>200000</v>
      </c>
      <c r="F29" s="315">
        <v>200000</v>
      </c>
      <c r="G29" s="315">
        <f t="shared" si="3"/>
        <v>0</v>
      </c>
      <c r="H29" s="315">
        <v>0</v>
      </c>
      <c r="I29" s="315">
        <v>0</v>
      </c>
      <c r="J29" s="547">
        <v>0</v>
      </c>
      <c r="K29" s="547">
        <v>0</v>
      </c>
      <c r="L29" s="547">
        <v>0</v>
      </c>
      <c r="M29" s="658"/>
      <c r="N29" s="550"/>
      <c r="O29" s="550"/>
      <c r="P29" s="550"/>
      <c r="Q29" s="643"/>
      <c r="R29" s="550"/>
    </row>
    <row r="30" spans="2:18" s="549" customFormat="1" x14ac:dyDescent="0.25">
      <c r="B30" s="321" t="s">
        <v>132</v>
      </c>
      <c r="C30" s="402">
        <v>44322</v>
      </c>
      <c r="D30" s="315">
        <v>0</v>
      </c>
      <c r="E30" s="315">
        <v>1500000</v>
      </c>
      <c r="F30" s="315">
        <v>1500000</v>
      </c>
      <c r="G30" s="315">
        <f t="shared" si="2"/>
        <v>0</v>
      </c>
      <c r="H30" s="315">
        <v>0</v>
      </c>
      <c r="I30" s="315">
        <v>0</v>
      </c>
      <c r="J30" s="547">
        <v>0</v>
      </c>
      <c r="K30" s="547">
        <v>0</v>
      </c>
      <c r="L30" s="547">
        <v>0</v>
      </c>
      <c r="M30" s="658"/>
      <c r="N30" s="550"/>
      <c r="O30" s="550"/>
      <c r="P30" s="550"/>
      <c r="Q30" s="643"/>
      <c r="R30" s="550"/>
    </row>
    <row r="31" spans="2:18" s="549" customFormat="1" x14ac:dyDescent="0.25">
      <c r="B31" s="321" t="s">
        <v>132</v>
      </c>
      <c r="C31" s="402">
        <v>44379</v>
      </c>
      <c r="D31" s="315">
        <v>0</v>
      </c>
      <c r="E31" s="315">
        <v>500000</v>
      </c>
      <c r="F31" s="315">
        <v>500000</v>
      </c>
      <c r="G31" s="315">
        <f t="shared" si="2"/>
        <v>0</v>
      </c>
      <c r="H31" s="315">
        <v>0</v>
      </c>
      <c r="I31" s="315">
        <v>0</v>
      </c>
      <c r="J31" s="547">
        <v>0</v>
      </c>
      <c r="K31" s="547">
        <v>0</v>
      </c>
      <c r="L31" s="547">
        <v>0</v>
      </c>
      <c r="M31" s="658"/>
      <c r="N31" s="550"/>
      <c r="O31" s="550"/>
      <c r="P31" s="550"/>
      <c r="Q31" s="643"/>
      <c r="R31" s="550"/>
    </row>
    <row r="32" spans="2:18" s="549" customFormat="1" x14ac:dyDescent="0.25">
      <c r="B32" s="321" t="s">
        <v>132</v>
      </c>
      <c r="C32" s="402">
        <v>44560</v>
      </c>
      <c r="D32" s="315">
        <v>0</v>
      </c>
      <c r="E32" s="315">
        <v>1000000</v>
      </c>
      <c r="F32" s="315">
        <v>1000000</v>
      </c>
      <c r="G32" s="315">
        <f t="shared" si="2"/>
        <v>0</v>
      </c>
      <c r="H32" s="315">
        <v>0</v>
      </c>
      <c r="I32" s="315">
        <v>0</v>
      </c>
      <c r="J32" s="547">
        <v>0</v>
      </c>
      <c r="K32" s="547">
        <v>0</v>
      </c>
      <c r="L32" s="547">
        <v>0</v>
      </c>
      <c r="M32" s="658"/>
      <c r="N32" s="550"/>
      <c r="O32" s="550"/>
      <c r="P32" s="550"/>
      <c r="Q32" s="643"/>
      <c r="R32" s="550"/>
    </row>
    <row r="33" spans="2:22" s="549" customFormat="1" x14ac:dyDescent="0.25">
      <c r="B33" s="321" t="s">
        <v>132</v>
      </c>
      <c r="C33" s="402">
        <v>44434</v>
      </c>
      <c r="D33" s="315">
        <v>0</v>
      </c>
      <c r="E33" s="315">
        <v>500000</v>
      </c>
      <c r="F33" s="315">
        <v>500000</v>
      </c>
      <c r="G33" s="315">
        <f t="shared" si="2"/>
        <v>0</v>
      </c>
      <c r="H33" s="315">
        <v>0</v>
      </c>
      <c r="I33" s="315">
        <v>0</v>
      </c>
      <c r="J33" s="547">
        <v>0</v>
      </c>
      <c r="K33" s="547">
        <v>0</v>
      </c>
      <c r="L33" s="547">
        <v>0</v>
      </c>
      <c r="M33" s="658"/>
      <c r="N33" s="550"/>
      <c r="O33" s="550"/>
      <c r="P33" s="550"/>
      <c r="Q33" s="643"/>
      <c r="R33" s="550"/>
    </row>
    <row r="34" spans="2:22" s="549" customFormat="1" x14ac:dyDescent="0.25">
      <c r="B34" s="321" t="s">
        <v>132</v>
      </c>
      <c r="C34" s="402">
        <v>44420</v>
      </c>
      <c r="D34" s="315">
        <v>0</v>
      </c>
      <c r="E34" s="315">
        <v>2500000</v>
      </c>
      <c r="F34" s="315">
        <v>2500000</v>
      </c>
      <c r="G34" s="315">
        <f t="shared" si="2"/>
        <v>0</v>
      </c>
      <c r="H34" s="315">
        <v>0</v>
      </c>
      <c r="I34" s="315">
        <v>0</v>
      </c>
      <c r="J34" s="547">
        <v>0</v>
      </c>
      <c r="K34" s="547">
        <v>0</v>
      </c>
      <c r="L34" s="547">
        <v>0</v>
      </c>
      <c r="M34" s="658"/>
      <c r="N34" s="550"/>
      <c r="O34" s="550"/>
      <c r="P34" s="550"/>
      <c r="Q34" s="643"/>
      <c r="R34" s="550"/>
    </row>
    <row r="35" spans="2:22" s="549" customFormat="1" x14ac:dyDescent="0.25">
      <c r="B35" s="321" t="s">
        <v>132</v>
      </c>
      <c r="C35" s="402">
        <v>44350</v>
      </c>
      <c r="D35" s="315">
        <v>0</v>
      </c>
      <c r="E35" s="315">
        <v>3800000</v>
      </c>
      <c r="F35" s="315">
        <v>3800000</v>
      </c>
      <c r="G35" s="315">
        <f t="shared" si="2"/>
        <v>0</v>
      </c>
      <c r="H35" s="315">
        <v>0</v>
      </c>
      <c r="I35" s="315">
        <v>0</v>
      </c>
      <c r="J35" s="547">
        <v>0</v>
      </c>
      <c r="K35" s="547">
        <v>0</v>
      </c>
      <c r="L35" s="547">
        <v>0</v>
      </c>
      <c r="M35" s="658"/>
      <c r="N35" s="550"/>
      <c r="O35" s="550"/>
      <c r="P35" s="550"/>
      <c r="Q35" s="643"/>
      <c r="R35" s="550"/>
    </row>
    <row r="36" spans="2:22" s="549" customFormat="1" x14ac:dyDescent="0.25">
      <c r="B36" s="321" t="s">
        <v>132</v>
      </c>
      <c r="C36" s="402">
        <v>44308</v>
      </c>
      <c r="D36" s="315">
        <v>0</v>
      </c>
      <c r="E36" s="315">
        <v>1400000</v>
      </c>
      <c r="F36" s="315">
        <v>1400000</v>
      </c>
      <c r="G36" s="315">
        <v>0</v>
      </c>
      <c r="H36" s="315">
        <v>0</v>
      </c>
      <c r="I36" s="315">
        <v>0</v>
      </c>
      <c r="J36" s="547">
        <v>0</v>
      </c>
      <c r="K36" s="547">
        <v>0</v>
      </c>
      <c r="L36" s="547">
        <v>0</v>
      </c>
      <c r="M36" s="658"/>
      <c r="N36" s="550"/>
      <c r="O36" s="402"/>
      <c r="P36" s="315"/>
      <c r="Q36" s="315"/>
      <c r="R36" s="315"/>
    </row>
    <row r="37" spans="2:22" s="549" customFormat="1" x14ac:dyDescent="0.25">
      <c r="B37" s="321" t="s">
        <v>132</v>
      </c>
      <c r="C37" s="402">
        <v>44448</v>
      </c>
      <c r="D37" s="315">
        <v>0</v>
      </c>
      <c r="E37" s="315">
        <v>2500000</v>
      </c>
      <c r="F37" s="315">
        <v>2500000</v>
      </c>
      <c r="G37" s="315">
        <f>D37+E37-F37</f>
        <v>0</v>
      </c>
      <c r="H37" s="315">
        <v>0</v>
      </c>
      <c r="I37" s="315">
        <v>0</v>
      </c>
      <c r="J37" s="547">
        <v>0</v>
      </c>
      <c r="K37" s="547">
        <v>0</v>
      </c>
      <c r="L37" s="547">
        <v>0</v>
      </c>
      <c r="M37" s="658"/>
      <c r="N37" s="550"/>
      <c r="O37" s="550"/>
      <c r="P37" s="550"/>
      <c r="Q37" s="643"/>
      <c r="R37" s="550"/>
    </row>
    <row r="38" spans="2:22" s="549" customFormat="1" x14ac:dyDescent="0.25">
      <c r="B38" s="321" t="s">
        <v>132</v>
      </c>
      <c r="C38" s="402">
        <v>44336</v>
      </c>
      <c r="D38" s="315">
        <v>0</v>
      </c>
      <c r="E38" s="315">
        <v>2000000</v>
      </c>
      <c r="F38" s="315">
        <v>2000000</v>
      </c>
      <c r="G38" s="315">
        <f>D38+E38-F38</f>
        <v>0</v>
      </c>
      <c r="H38" s="315">
        <v>0</v>
      </c>
      <c r="I38" s="315">
        <v>0</v>
      </c>
      <c r="J38" s="547">
        <v>0</v>
      </c>
      <c r="K38" s="547">
        <v>0</v>
      </c>
      <c r="L38" s="547">
        <v>0</v>
      </c>
      <c r="M38" s="658"/>
      <c r="N38" s="550"/>
      <c r="O38" s="550"/>
      <c r="P38" s="550"/>
      <c r="Q38" s="643"/>
      <c r="R38" s="550"/>
    </row>
    <row r="39" spans="2:22" s="549" customFormat="1" x14ac:dyDescent="0.25">
      <c r="B39" s="321" t="s">
        <v>132</v>
      </c>
      <c r="C39" s="402">
        <v>44392</v>
      </c>
      <c r="D39" s="315">
        <v>0</v>
      </c>
      <c r="E39" s="315">
        <v>500000</v>
      </c>
      <c r="F39" s="315">
        <v>500000</v>
      </c>
      <c r="G39" s="315">
        <f>D39+E39-F39</f>
        <v>0</v>
      </c>
      <c r="H39" s="315">
        <v>0</v>
      </c>
      <c r="I39" s="315">
        <v>0</v>
      </c>
      <c r="J39" s="547">
        <v>0</v>
      </c>
      <c r="K39" s="547">
        <v>0</v>
      </c>
      <c r="L39" s="547">
        <v>0</v>
      </c>
      <c r="M39" s="658"/>
      <c r="N39" s="550"/>
      <c r="O39" s="550"/>
      <c r="P39" s="550"/>
      <c r="Q39" s="643"/>
      <c r="R39" s="550"/>
    </row>
    <row r="40" spans="2:22" s="549" customFormat="1" x14ac:dyDescent="0.25">
      <c r="B40" s="321" t="s">
        <v>132</v>
      </c>
      <c r="C40" s="402">
        <v>44588</v>
      </c>
      <c r="D40" s="315">
        <v>0</v>
      </c>
      <c r="E40" s="315">
        <v>900000</v>
      </c>
      <c r="F40" s="315">
        <v>900000</v>
      </c>
      <c r="G40" s="315">
        <f>D40+E40-F40</f>
        <v>0</v>
      </c>
      <c r="H40" s="315">
        <v>0</v>
      </c>
      <c r="I40" s="315">
        <v>0</v>
      </c>
      <c r="J40" s="547">
        <v>0</v>
      </c>
      <c r="K40" s="547">
        <v>0</v>
      </c>
      <c r="L40" s="547">
        <v>0</v>
      </c>
      <c r="M40" s="658"/>
      <c r="N40" s="550"/>
      <c r="O40" s="550"/>
      <c r="P40" s="550"/>
      <c r="Q40" s="643"/>
      <c r="R40" s="550"/>
    </row>
    <row r="41" spans="2:22" s="549" customFormat="1" x14ac:dyDescent="0.25">
      <c r="B41" s="321" t="s">
        <v>132</v>
      </c>
      <c r="C41" s="402">
        <v>44364</v>
      </c>
      <c r="D41" s="315">
        <v>0</v>
      </c>
      <c r="E41" s="315">
        <v>1000000</v>
      </c>
      <c r="F41" s="315">
        <v>1000000</v>
      </c>
      <c r="G41" s="315">
        <f>D41+E41-F41</f>
        <v>0</v>
      </c>
      <c r="H41" s="315">
        <v>0</v>
      </c>
      <c r="I41" s="315">
        <v>0</v>
      </c>
      <c r="J41" s="547">
        <v>0</v>
      </c>
      <c r="K41" s="547">
        <v>0</v>
      </c>
      <c r="L41" s="547">
        <v>0</v>
      </c>
      <c r="M41" s="658"/>
      <c r="N41" s="550"/>
      <c r="O41" s="550"/>
      <c r="P41" s="550"/>
      <c r="Q41" s="643"/>
      <c r="R41" s="550"/>
    </row>
    <row r="42" spans="2:22" s="549" customFormat="1" x14ac:dyDescent="0.25">
      <c r="D42" s="315"/>
      <c r="E42" s="315"/>
      <c r="F42" s="315"/>
      <c r="G42" s="315"/>
      <c r="H42" s="315"/>
      <c r="I42" s="315"/>
      <c r="J42" s="315"/>
      <c r="K42" s="547"/>
      <c r="L42" s="547"/>
      <c r="M42" s="658"/>
      <c r="N42" s="65"/>
      <c r="O42" s="550"/>
      <c r="P42" s="550"/>
      <c r="Q42" s="65"/>
      <c r="R42" s="65"/>
      <c r="S42" s="68"/>
      <c r="T42" s="68"/>
      <c r="U42" s="68"/>
      <c r="V42" s="68"/>
    </row>
    <row r="43" spans="2:22" s="549" customFormat="1" ht="13.5" thickBot="1" x14ac:dyDescent="0.3">
      <c r="B43" s="350" t="s">
        <v>709</v>
      </c>
      <c r="D43" s="315"/>
      <c r="E43" s="315"/>
      <c r="F43" s="315"/>
      <c r="G43" s="315"/>
      <c r="H43" s="318">
        <f>SUM(H10:H42)</f>
        <v>0</v>
      </c>
      <c r="I43" s="318">
        <f>SUM(I10:I42)</f>
        <v>0</v>
      </c>
      <c r="J43" s="318">
        <f>SUM(J10:J42)</f>
        <v>0</v>
      </c>
      <c r="K43" s="317"/>
      <c r="L43" s="317"/>
      <c r="M43" s="657"/>
      <c r="N43" s="65"/>
      <c r="O43" s="550"/>
      <c r="P43" s="550"/>
      <c r="Q43" s="550"/>
      <c r="R43" s="550"/>
    </row>
    <row r="44" spans="2:22" s="549" customFormat="1" ht="6" customHeight="1" thickTop="1" x14ac:dyDescent="0.25">
      <c r="B44" s="350"/>
      <c r="D44" s="315"/>
      <c r="E44" s="315"/>
      <c r="F44" s="315"/>
      <c r="G44" s="315"/>
      <c r="H44" s="315"/>
      <c r="I44" s="315"/>
      <c r="J44" s="315"/>
      <c r="K44" s="313"/>
      <c r="L44" s="313"/>
      <c r="M44" s="657"/>
      <c r="N44" s="550"/>
      <c r="O44" s="550"/>
      <c r="P44" s="550"/>
      <c r="Q44" s="550"/>
      <c r="R44" s="550"/>
    </row>
    <row r="45" spans="2:22" s="549" customFormat="1" ht="13.5" thickBot="1" x14ac:dyDescent="0.3">
      <c r="B45" s="350" t="s">
        <v>655</v>
      </c>
      <c r="D45" s="315"/>
      <c r="E45" s="315"/>
      <c r="F45" s="315"/>
      <c r="G45" s="315"/>
      <c r="H45" s="314">
        <v>0</v>
      </c>
      <c r="I45" s="314">
        <v>0</v>
      </c>
      <c r="J45" s="314">
        <v>0</v>
      </c>
      <c r="K45" s="313"/>
      <c r="L45" s="313"/>
      <c r="M45" s="657"/>
      <c r="N45" s="550"/>
      <c r="O45" s="550"/>
      <c r="P45" s="550"/>
      <c r="Q45" s="550"/>
      <c r="R45" s="550"/>
    </row>
    <row r="46" spans="2:22" s="549" customFormat="1" ht="6" customHeight="1" thickTop="1" x14ac:dyDescent="0.25">
      <c r="B46" s="550"/>
      <c r="C46" s="550"/>
      <c r="D46" s="65"/>
      <c r="E46" s="65"/>
      <c r="F46" s="65"/>
      <c r="G46" s="65"/>
      <c r="H46" s="65"/>
      <c r="I46" s="65"/>
      <c r="J46" s="65"/>
      <c r="K46" s="313"/>
      <c r="L46" s="313"/>
      <c r="M46" s="657"/>
      <c r="N46" s="550"/>
      <c r="O46" s="550"/>
      <c r="P46" s="550"/>
      <c r="Q46" s="550"/>
      <c r="R46" s="550"/>
    </row>
  </sheetData>
  <mergeCells count="5">
    <mergeCell ref="D4:G5"/>
    <mergeCell ref="H4:J5"/>
    <mergeCell ref="K4:L5"/>
    <mergeCell ref="D7:J7"/>
    <mergeCell ref="K7:L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9"/>
  <sheetViews>
    <sheetView topLeftCell="A11" workbookViewId="0">
      <selection activeCell="D29" sqref="D29"/>
    </sheetView>
  </sheetViews>
  <sheetFormatPr defaultRowHeight="15.75" x14ac:dyDescent="0.25"/>
  <cols>
    <col min="2" max="2" width="29.125" bestFit="1" customWidth="1"/>
    <col min="3" max="3" width="16.875" style="472" bestFit="1" customWidth="1"/>
    <col min="4" max="4" width="14.375" style="472" bestFit="1" customWidth="1"/>
    <col min="5" max="5" width="11.625" bestFit="1" customWidth="1"/>
  </cols>
  <sheetData>
    <row r="2" spans="2:5" x14ac:dyDescent="0.25">
      <c r="C2" s="472" t="s">
        <v>274</v>
      </c>
      <c r="D2" s="472" t="s">
        <v>273</v>
      </c>
    </row>
    <row r="3" spans="2:5" x14ac:dyDescent="0.25">
      <c r="B3" t="s">
        <v>275</v>
      </c>
      <c r="C3" s="472">
        <v>8668193934.5300007</v>
      </c>
      <c r="D3" s="472">
        <v>171584145.2419</v>
      </c>
    </row>
    <row r="4" spans="2:5" x14ac:dyDescent="0.25">
      <c r="B4" t="s">
        <v>467</v>
      </c>
      <c r="C4" s="472">
        <v>3591344.66</v>
      </c>
      <c r="D4" s="472">
        <v>70384.826499999996</v>
      </c>
    </row>
    <row r="5" spans="2:5" x14ac:dyDescent="0.25">
      <c r="B5" t="s">
        <v>468</v>
      </c>
      <c r="C5" s="593">
        <f>+D5*50.4678</f>
        <v>51743459.526055254</v>
      </c>
      <c r="D5" s="472">
        <v>1025276.7017</v>
      </c>
    </row>
    <row r="6" spans="2:5" x14ac:dyDescent="0.25">
      <c r="B6" t="s">
        <v>276</v>
      </c>
      <c r="C6" s="472">
        <v>460435574.82999998</v>
      </c>
      <c r="D6" s="472">
        <v>9104289.9296000004</v>
      </c>
    </row>
    <row r="7" spans="2:5" x14ac:dyDescent="0.25">
      <c r="B7" t="s">
        <v>278</v>
      </c>
      <c r="C7" s="472">
        <v>23670375.609999999</v>
      </c>
      <c r="D7" s="472">
        <v>462608.46649999998</v>
      </c>
    </row>
    <row r="8" spans="2:5" x14ac:dyDescent="0.25">
      <c r="B8" t="s">
        <v>277</v>
      </c>
      <c r="C8" s="472">
        <v>28752902647.73</v>
      </c>
      <c r="D8" s="472">
        <v>568831373.40869999</v>
      </c>
    </row>
    <row r="9" spans="2:5" x14ac:dyDescent="0.25">
      <c r="B9" t="s">
        <v>469</v>
      </c>
      <c r="C9" s="472">
        <v>415843052.92000002</v>
      </c>
      <c r="D9" s="472">
        <v>8239770.0007999996</v>
      </c>
    </row>
    <row r="10" spans="2:5" x14ac:dyDescent="0.25">
      <c r="B10" t="s">
        <v>647</v>
      </c>
      <c r="C10" s="472">
        <v>395020904.19999999</v>
      </c>
      <c r="D10" s="472">
        <v>7780448.2328000003</v>
      </c>
    </row>
    <row r="11" spans="2:5" x14ac:dyDescent="0.25">
      <c r="B11" t="s">
        <v>285</v>
      </c>
      <c r="C11" s="472">
        <v>160636334.78</v>
      </c>
      <c r="D11" s="472">
        <v>3172680.6789000002</v>
      </c>
    </row>
    <row r="12" spans="2:5" x14ac:dyDescent="0.25">
      <c r="C12" s="594">
        <f>SUM(C3:C11)</f>
        <v>38932037628.786049</v>
      </c>
      <c r="D12" s="594">
        <f>SUM(D3:D11)</f>
        <v>770270977.48740005</v>
      </c>
      <c r="E12" s="473"/>
    </row>
    <row r="14" spans="2:5" x14ac:dyDescent="0.25">
      <c r="B14" t="s">
        <v>470</v>
      </c>
      <c r="C14" s="472">
        <v>-8236.11</v>
      </c>
      <c r="D14" s="472">
        <v>-162.75749999999999</v>
      </c>
    </row>
    <row r="15" spans="2:5" x14ac:dyDescent="0.25">
      <c r="B15" t="s">
        <v>648</v>
      </c>
      <c r="C15" s="472">
        <v>-2.5</v>
      </c>
      <c r="D15" s="472">
        <v>-4.9500000000000002E-2</v>
      </c>
    </row>
    <row r="16" spans="2:5" x14ac:dyDescent="0.25">
      <c r="B16" t="s">
        <v>649</v>
      </c>
      <c r="C16" s="472">
        <v>-395245146.19999999</v>
      </c>
      <c r="D16" s="472">
        <v>-7784864.5875000004</v>
      </c>
    </row>
    <row r="17" spans="2:4" x14ac:dyDescent="0.25">
      <c r="B17" t="s">
        <v>650</v>
      </c>
      <c r="C17" s="472">
        <v>-6508818</v>
      </c>
      <c r="D17" s="472">
        <v>-128969.7193</v>
      </c>
    </row>
    <row r="18" spans="2:4" x14ac:dyDescent="0.25">
      <c r="B18" t="s">
        <v>276</v>
      </c>
      <c r="C18" s="472">
        <v>-932482943.03999996</v>
      </c>
      <c r="D18" s="472">
        <v>-18446840.465300001</v>
      </c>
    </row>
    <row r="19" spans="2:4" x14ac:dyDescent="0.25">
      <c r="B19" t="s">
        <v>281</v>
      </c>
      <c r="C19" s="472">
        <v>-82830.490000000005</v>
      </c>
      <c r="D19" s="472">
        <v>-1640.1413</v>
      </c>
    </row>
    <row r="20" spans="2:4" x14ac:dyDescent="0.25">
      <c r="B20" t="s">
        <v>280</v>
      </c>
      <c r="C20" s="472">
        <v>-51308752.539999999</v>
      </c>
      <c r="D20" s="472">
        <v>-1012525.0985</v>
      </c>
    </row>
    <row r="21" spans="2:4" x14ac:dyDescent="0.25">
      <c r="B21" t="s">
        <v>651</v>
      </c>
      <c r="C21" s="472">
        <v>-600</v>
      </c>
      <c r="D21" s="472">
        <v>-11.8888</v>
      </c>
    </row>
    <row r="22" spans="2:4" x14ac:dyDescent="0.25">
      <c r="B22" t="s">
        <v>284</v>
      </c>
      <c r="C22" s="472">
        <v>-1844188.56</v>
      </c>
      <c r="D22" s="472">
        <v>-36483.313000000002</v>
      </c>
    </row>
    <row r="23" spans="2:4" x14ac:dyDescent="0.25">
      <c r="B23" t="s">
        <v>282</v>
      </c>
      <c r="C23" s="472">
        <v>-5839.01</v>
      </c>
      <c r="D23" s="472">
        <v>-115.5968</v>
      </c>
    </row>
    <row r="24" spans="2:4" x14ac:dyDescent="0.25">
      <c r="B24" t="s">
        <v>285</v>
      </c>
      <c r="C24" s="472">
        <v>-114929193.94</v>
      </c>
      <c r="D24" s="472">
        <v>-2264310.9204000002</v>
      </c>
    </row>
    <row r="25" spans="2:4" x14ac:dyDescent="0.25">
      <c r="B25" t="s">
        <v>283</v>
      </c>
      <c r="C25" s="472">
        <v>-19221813051.279999</v>
      </c>
      <c r="D25" s="472">
        <v>-380609367.19450003</v>
      </c>
    </row>
    <row r="26" spans="2:4" x14ac:dyDescent="0.25">
      <c r="B26" t="s">
        <v>287</v>
      </c>
      <c r="C26" s="472">
        <v>-158066256</v>
      </c>
      <c r="D26" s="472">
        <v>-3123685.1107999999</v>
      </c>
    </row>
    <row r="27" spans="2:4" x14ac:dyDescent="0.25">
      <c r="B27" t="s">
        <v>286</v>
      </c>
      <c r="C27" s="472">
        <v>-5799266764.1599998</v>
      </c>
      <c r="D27" s="472">
        <v>-114855421.74160001</v>
      </c>
    </row>
    <row r="28" spans="2:4" x14ac:dyDescent="0.25">
      <c r="B28" t="s">
        <v>471</v>
      </c>
      <c r="C28" s="472">
        <v>-3591352.66</v>
      </c>
      <c r="D28" s="472">
        <v>-70384.982399999994</v>
      </c>
    </row>
    <row r="29" spans="2:4" x14ac:dyDescent="0.25">
      <c r="C29" s="594">
        <f>SUM(C14:C28)</f>
        <v>-26685153974.489998</v>
      </c>
      <c r="D29" s="594">
        <f>SUM(D14:D28)</f>
        <v>-528334783.56720012</v>
      </c>
    </row>
  </sheetData>
  <autoFilter ref="B2:D29"/>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29"/>
  <sheetViews>
    <sheetView topLeftCell="A7" workbookViewId="0">
      <selection activeCell="K9" sqref="K9"/>
    </sheetView>
  </sheetViews>
  <sheetFormatPr defaultColWidth="9" defaultRowHeight="12" x14ac:dyDescent="0.2"/>
  <cols>
    <col min="1" max="1" width="14.125" style="411" bestFit="1" customWidth="1"/>
    <col min="2" max="2" width="45" style="411" customWidth="1"/>
    <col min="3" max="3" width="18.375" style="414" bestFit="1" customWidth="1"/>
    <col min="4" max="4" width="17.125" style="414" customWidth="1"/>
    <col min="5" max="5" width="2.125" style="425" customWidth="1"/>
    <col min="6" max="6" width="18.125" style="414" bestFit="1" customWidth="1"/>
    <col min="7" max="7" width="17.375" style="414" customWidth="1"/>
    <col min="8" max="8" width="1.875" style="425" customWidth="1"/>
    <col min="9" max="9" width="14.125" style="414" bestFit="1" customWidth="1"/>
    <col min="10" max="10" width="13.875" style="414" bestFit="1" customWidth="1"/>
    <col min="11" max="11" width="14.125" style="414" bestFit="1" customWidth="1"/>
    <col min="12" max="12" width="13.875" style="414" bestFit="1" customWidth="1"/>
    <col min="13" max="13" width="13.875" style="414" customWidth="1"/>
    <col min="14" max="14" width="13.625" style="411" bestFit="1" customWidth="1"/>
    <col min="15" max="16384" width="9" style="411"/>
  </cols>
  <sheetData>
    <row r="1" spans="1:14" x14ac:dyDescent="0.2">
      <c r="A1" s="568"/>
      <c r="B1" s="568"/>
      <c r="C1" s="569"/>
      <c r="D1" s="569"/>
    </row>
    <row r="2" spans="1:14" x14ac:dyDescent="0.2">
      <c r="A2" s="568"/>
      <c r="B2" s="568"/>
      <c r="C2" s="569"/>
      <c r="D2" s="569"/>
      <c r="F2" s="414" t="s">
        <v>268</v>
      </c>
      <c r="K2" s="414" t="s">
        <v>269</v>
      </c>
      <c r="L2" s="414">
        <v>1000</v>
      </c>
    </row>
    <row r="3" spans="1:14" x14ac:dyDescent="0.2">
      <c r="A3" s="568" t="s">
        <v>193</v>
      </c>
      <c r="B3" s="568"/>
      <c r="C3" s="569"/>
      <c r="D3" s="569"/>
      <c r="F3" s="414">
        <f>SUBTOTAL(9,F7:F120)</f>
        <v>42743203471</v>
      </c>
      <c r="G3" s="414">
        <f>SUBTOTAL(9,G7:G120)</f>
        <v>42744379103</v>
      </c>
      <c r="K3" s="414">
        <f>SUBTOTAL(9,K7:K120)</f>
        <v>42744066</v>
      </c>
      <c r="L3" s="414">
        <f>SUBTOTAL(9,L7:L120)</f>
        <v>42744379.480000004</v>
      </c>
      <c r="N3" s="417">
        <f>K3-L3</f>
        <v>-313.48000000417233</v>
      </c>
    </row>
    <row r="4" spans="1:14" x14ac:dyDescent="0.2">
      <c r="A4" s="570" t="s">
        <v>194</v>
      </c>
      <c r="B4" s="570" t="s">
        <v>195</v>
      </c>
      <c r="C4" s="571" t="s">
        <v>196</v>
      </c>
      <c r="D4" s="571" t="s">
        <v>197</v>
      </c>
      <c r="E4" s="426"/>
      <c r="F4" s="426" t="s">
        <v>196</v>
      </c>
      <c r="G4" s="426" t="s">
        <v>197</v>
      </c>
      <c r="H4" s="426"/>
      <c r="I4" s="426"/>
      <c r="J4" s="426"/>
      <c r="K4" s="426" t="s">
        <v>196</v>
      </c>
      <c r="L4" s="426" t="s">
        <v>197</v>
      </c>
      <c r="M4" s="426" t="s">
        <v>303</v>
      </c>
    </row>
    <row r="5" spans="1:14" x14ac:dyDescent="0.2">
      <c r="A5" s="568"/>
      <c r="B5" s="568"/>
      <c r="C5" s="568"/>
      <c r="D5" s="568"/>
      <c r="E5" s="411"/>
      <c r="F5" s="411"/>
      <c r="G5" s="411"/>
      <c r="H5" s="411"/>
      <c r="I5" s="411"/>
      <c r="J5" s="411"/>
      <c r="K5" s="411"/>
      <c r="L5" s="411"/>
    </row>
    <row r="6" spans="1:14" ht="12.75" thickBot="1" x14ac:dyDescent="0.25">
      <c r="A6" s="572" t="s">
        <v>299</v>
      </c>
      <c r="B6" s="568"/>
      <c r="C6" s="568"/>
      <c r="D6" s="568"/>
      <c r="E6" s="411"/>
      <c r="F6" s="411"/>
      <c r="G6" s="411"/>
      <c r="H6" s="411"/>
      <c r="I6" s="411"/>
      <c r="J6" s="411"/>
      <c r="K6" s="411"/>
      <c r="L6" s="411"/>
    </row>
    <row r="7" spans="1:14" x14ac:dyDescent="0.2">
      <c r="A7" s="573" t="s">
        <v>532</v>
      </c>
      <c r="B7" s="574" t="s">
        <v>533</v>
      </c>
      <c r="C7" s="575">
        <v>21325266.059999999</v>
      </c>
      <c r="D7" s="575">
        <v>0</v>
      </c>
      <c r="E7" s="431"/>
      <c r="F7" s="430">
        <f>ROUND(C7,0)</f>
        <v>21325266</v>
      </c>
      <c r="G7" s="430">
        <f>ROUND(D7,0)</f>
        <v>0</v>
      </c>
      <c r="H7" s="431"/>
      <c r="I7" s="430"/>
      <c r="J7" s="430"/>
      <c r="K7" s="430">
        <f>ROUND(C7/1000,0)</f>
        <v>21325</v>
      </c>
      <c r="L7" s="430">
        <f>ROUND(D7/1000,0)</f>
        <v>0</v>
      </c>
      <c r="M7" s="430">
        <f>K7-L7</f>
        <v>21325</v>
      </c>
      <c r="N7" s="432"/>
    </row>
    <row r="8" spans="1:14" x14ac:dyDescent="0.2">
      <c r="A8" s="565" t="s">
        <v>534</v>
      </c>
      <c r="B8" s="566" t="s">
        <v>198</v>
      </c>
      <c r="C8" s="567">
        <v>12269.33</v>
      </c>
      <c r="D8" s="567">
        <v>0</v>
      </c>
      <c r="E8" s="436"/>
      <c r="F8" s="435">
        <f t="shared" ref="F8:F15" si="0">ROUND(C8,0)</f>
        <v>12269</v>
      </c>
      <c r="G8" s="435">
        <f t="shared" ref="G8:G15" si="1">ROUND(D8,0)</f>
        <v>0</v>
      </c>
      <c r="H8" s="436"/>
      <c r="I8" s="435"/>
      <c r="J8" s="435"/>
      <c r="K8" s="435">
        <f t="shared" ref="K8:K105" si="2">ROUND(C8/1000,0)</f>
        <v>12</v>
      </c>
      <c r="L8" s="435">
        <f t="shared" ref="L8:L106" si="3">ROUND(D8/1000,0)</f>
        <v>0</v>
      </c>
      <c r="M8" s="435">
        <f t="shared" ref="M8:M39" si="4">K8-L8</f>
        <v>12</v>
      </c>
      <c r="N8" s="454">
        <f>M10+M9</f>
        <v>5134</v>
      </c>
    </row>
    <row r="9" spans="1:14" x14ac:dyDescent="0.2">
      <c r="A9" s="565" t="s">
        <v>535</v>
      </c>
      <c r="B9" s="566" t="s">
        <v>199</v>
      </c>
      <c r="C9" s="567">
        <v>4818281.41</v>
      </c>
      <c r="D9" s="567">
        <v>0</v>
      </c>
      <c r="E9" s="436"/>
      <c r="F9" s="435">
        <f t="shared" si="0"/>
        <v>4818281</v>
      </c>
      <c r="G9" s="435">
        <f t="shared" si="1"/>
        <v>0</v>
      </c>
      <c r="H9" s="436"/>
      <c r="I9" s="435"/>
      <c r="J9" s="435"/>
      <c r="K9" s="435">
        <f t="shared" si="2"/>
        <v>4818</v>
      </c>
      <c r="L9" s="435">
        <f t="shared" si="3"/>
        <v>0</v>
      </c>
      <c r="M9" s="435">
        <f t="shared" si="4"/>
        <v>4818</v>
      </c>
      <c r="N9" s="454">
        <f>M9</f>
        <v>4818</v>
      </c>
    </row>
    <row r="10" spans="1:14" x14ac:dyDescent="0.2">
      <c r="A10" s="565" t="s">
        <v>536</v>
      </c>
      <c r="B10" s="566" t="s">
        <v>200</v>
      </c>
      <c r="C10" s="567">
        <v>315840.16000000003</v>
      </c>
      <c r="D10" s="567">
        <v>0</v>
      </c>
      <c r="E10" s="436"/>
      <c r="F10" s="435">
        <f t="shared" si="0"/>
        <v>315840</v>
      </c>
      <c r="G10" s="435">
        <f t="shared" si="1"/>
        <v>0</v>
      </c>
      <c r="H10" s="436"/>
      <c r="I10" s="435"/>
      <c r="J10" s="435"/>
      <c r="K10" s="435">
        <f t="shared" si="2"/>
        <v>316</v>
      </c>
      <c r="L10" s="435">
        <f t="shared" si="3"/>
        <v>0</v>
      </c>
      <c r="M10" s="435">
        <f>K10-L10</f>
        <v>316</v>
      </c>
      <c r="N10" s="454">
        <f>SUM(M7:M19)-N11</f>
        <v>15242659</v>
      </c>
    </row>
    <row r="11" spans="1:14" x14ac:dyDescent="0.2">
      <c r="A11" s="565" t="s">
        <v>537</v>
      </c>
      <c r="B11" s="566" t="s">
        <v>201</v>
      </c>
      <c r="C11" s="567">
        <v>4413.9800000000005</v>
      </c>
      <c r="D11" s="567">
        <v>0</v>
      </c>
      <c r="E11" s="436"/>
      <c r="F11" s="435">
        <f t="shared" si="0"/>
        <v>4414</v>
      </c>
      <c r="G11" s="435">
        <f t="shared" si="1"/>
        <v>0</v>
      </c>
      <c r="H11" s="436"/>
      <c r="I11" s="435"/>
      <c r="J11" s="435"/>
      <c r="K11" s="435">
        <f t="shared" si="2"/>
        <v>4</v>
      </c>
      <c r="L11" s="435">
        <f t="shared" si="3"/>
        <v>0</v>
      </c>
      <c r="M11" s="435">
        <f t="shared" si="4"/>
        <v>4</v>
      </c>
      <c r="N11" s="454">
        <f>M11</f>
        <v>4</v>
      </c>
    </row>
    <row r="12" spans="1:14" x14ac:dyDescent="0.2">
      <c r="A12" s="565" t="s">
        <v>538</v>
      </c>
      <c r="B12" s="566" t="s">
        <v>202</v>
      </c>
      <c r="C12" s="567">
        <v>273083.47000000003</v>
      </c>
      <c r="D12" s="567">
        <v>0</v>
      </c>
      <c r="E12" s="436"/>
      <c r="F12" s="435">
        <f t="shared" si="0"/>
        <v>273083</v>
      </c>
      <c r="G12" s="435">
        <f t="shared" si="1"/>
        <v>0</v>
      </c>
      <c r="H12" s="436"/>
      <c r="I12" s="435"/>
      <c r="J12" s="435"/>
      <c r="K12" s="435">
        <f t="shared" si="2"/>
        <v>273</v>
      </c>
      <c r="L12" s="435">
        <f t="shared" si="3"/>
        <v>0</v>
      </c>
      <c r="M12" s="435">
        <f t="shared" si="4"/>
        <v>273</v>
      </c>
      <c r="N12" s="437"/>
    </row>
    <row r="13" spans="1:14" x14ac:dyDescent="0.2">
      <c r="A13" s="565" t="s">
        <v>539</v>
      </c>
      <c r="B13" s="566" t="s">
        <v>203</v>
      </c>
      <c r="C13" s="567">
        <v>0.14000000000000001</v>
      </c>
      <c r="D13" s="567">
        <v>0</v>
      </c>
      <c r="E13" s="436"/>
      <c r="F13" s="435">
        <f t="shared" si="0"/>
        <v>0</v>
      </c>
      <c r="G13" s="435">
        <f t="shared" si="1"/>
        <v>0</v>
      </c>
      <c r="H13" s="436"/>
      <c r="I13" s="435"/>
      <c r="J13" s="435"/>
      <c r="K13" s="435">
        <f t="shared" si="2"/>
        <v>0</v>
      </c>
      <c r="L13" s="435">
        <f t="shared" si="3"/>
        <v>0</v>
      </c>
      <c r="M13" s="435">
        <f t="shared" si="4"/>
        <v>0</v>
      </c>
      <c r="N13" s="437"/>
    </row>
    <row r="14" spans="1:14" x14ac:dyDescent="0.2">
      <c r="A14" s="565" t="s">
        <v>540</v>
      </c>
      <c r="B14" s="566" t="s">
        <v>204</v>
      </c>
      <c r="C14" s="567">
        <v>2726.12</v>
      </c>
      <c r="D14" s="567">
        <v>0</v>
      </c>
      <c r="E14" s="436"/>
      <c r="F14" s="435">
        <f t="shared" si="0"/>
        <v>2726</v>
      </c>
      <c r="G14" s="435">
        <f t="shared" si="1"/>
        <v>0</v>
      </c>
      <c r="H14" s="436"/>
      <c r="I14" s="435"/>
      <c r="J14" s="435"/>
      <c r="K14" s="435">
        <f t="shared" si="2"/>
        <v>3</v>
      </c>
      <c r="L14" s="435">
        <f t="shared" si="3"/>
        <v>0</v>
      </c>
      <c r="M14" s="435">
        <f t="shared" si="4"/>
        <v>3</v>
      </c>
      <c r="N14" s="437"/>
    </row>
    <row r="15" spans="1:14" x14ac:dyDescent="0.2">
      <c r="A15" s="565" t="s">
        <v>541</v>
      </c>
      <c r="B15" s="566" t="s">
        <v>205</v>
      </c>
      <c r="C15" s="567">
        <v>14806.32</v>
      </c>
      <c r="D15" s="567">
        <v>0</v>
      </c>
      <c r="E15" s="436"/>
      <c r="F15" s="435">
        <f t="shared" si="0"/>
        <v>14806</v>
      </c>
      <c r="G15" s="435">
        <f t="shared" si="1"/>
        <v>0</v>
      </c>
      <c r="H15" s="436"/>
      <c r="I15" s="435"/>
      <c r="J15" s="435"/>
      <c r="K15" s="435">
        <f t="shared" si="2"/>
        <v>15</v>
      </c>
      <c r="L15" s="435">
        <f t="shared" si="3"/>
        <v>0</v>
      </c>
      <c r="M15" s="435">
        <f t="shared" si="4"/>
        <v>15</v>
      </c>
      <c r="N15" s="437"/>
    </row>
    <row r="16" spans="1:14" x14ac:dyDescent="0.2">
      <c r="A16" s="565" t="s">
        <v>542</v>
      </c>
      <c r="B16" s="566" t="s">
        <v>543</v>
      </c>
      <c r="C16" s="567">
        <v>15215638092.309999</v>
      </c>
      <c r="D16" s="567">
        <v>0</v>
      </c>
      <c r="E16" s="436"/>
      <c r="F16" s="435">
        <f t="shared" ref="F16:F18" si="5">ROUND(C16,0)</f>
        <v>15215638092</v>
      </c>
      <c r="G16" s="435">
        <f t="shared" ref="G16:G18" si="6">ROUND(D16,0)</f>
        <v>0</v>
      </c>
      <c r="H16" s="436"/>
      <c r="I16" s="435"/>
      <c r="J16" s="435"/>
      <c r="K16" s="435">
        <f t="shared" ref="K16:K18" si="7">ROUND(C16/1000,0)</f>
        <v>15215638</v>
      </c>
      <c r="L16" s="435">
        <f t="shared" ref="L16:L18" si="8">ROUND(D16/1000,0)</f>
        <v>0</v>
      </c>
      <c r="M16" s="435">
        <f t="shared" ref="M16:M18" si="9">K16-L16</f>
        <v>15215638</v>
      </c>
      <c r="N16" s="437"/>
    </row>
    <row r="17" spans="1:14" x14ac:dyDescent="0.2">
      <c r="A17" s="565" t="s">
        <v>544</v>
      </c>
      <c r="B17" s="566" t="s">
        <v>206</v>
      </c>
      <c r="C17" s="567">
        <v>239703.94</v>
      </c>
      <c r="D17" s="567">
        <v>0</v>
      </c>
      <c r="E17" s="436"/>
      <c r="F17" s="435">
        <f t="shared" si="5"/>
        <v>239704</v>
      </c>
      <c r="G17" s="435">
        <f t="shared" si="6"/>
        <v>0</v>
      </c>
      <c r="H17" s="436"/>
      <c r="I17" s="435"/>
      <c r="J17" s="435"/>
      <c r="K17" s="435">
        <f t="shared" si="7"/>
        <v>240</v>
      </c>
      <c r="L17" s="435">
        <f t="shared" si="8"/>
        <v>0</v>
      </c>
      <c r="M17" s="435">
        <f t="shared" si="9"/>
        <v>240</v>
      </c>
      <c r="N17" s="437"/>
    </row>
    <row r="18" spans="1:14" x14ac:dyDescent="0.2">
      <c r="A18" s="565" t="s">
        <v>545</v>
      </c>
      <c r="B18" s="566" t="s">
        <v>497</v>
      </c>
      <c r="C18" s="567">
        <v>19254</v>
      </c>
      <c r="D18" s="567">
        <v>0</v>
      </c>
      <c r="E18" s="436"/>
      <c r="F18" s="435">
        <f t="shared" si="5"/>
        <v>19254</v>
      </c>
      <c r="G18" s="435">
        <f t="shared" si="6"/>
        <v>0</v>
      </c>
      <c r="H18" s="436"/>
      <c r="I18" s="435"/>
      <c r="J18" s="435"/>
      <c r="K18" s="435">
        <f t="shared" si="7"/>
        <v>19</v>
      </c>
      <c r="L18" s="435">
        <f t="shared" si="8"/>
        <v>0</v>
      </c>
      <c r="M18" s="435">
        <f t="shared" si="9"/>
        <v>19</v>
      </c>
      <c r="N18" s="437"/>
    </row>
    <row r="19" spans="1:14" x14ac:dyDescent="0.2">
      <c r="A19" s="565"/>
      <c r="B19" s="566"/>
      <c r="C19" s="567"/>
      <c r="D19" s="567"/>
      <c r="E19" s="436"/>
      <c r="F19" s="435"/>
      <c r="G19" s="435"/>
      <c r="H19" s="436"/>
      <c r="I19" s="435"/>
      <c r="J19" s="435"/>
      <c r="K19" s="435"/>
      <c r="L19" s="435"/>
      <c r="M19" s="435"/>
      <c r="N19" s="437"/>
    </row>
    <row r="20" spans="1:14" x14ac:dyDescent="0.2">
      <c r="A20" s="565"/>
      <c r="B20" s="566"/>
      <c r="C20" s="567"/>
      <c r="D20" s="567"/>
      <c r="E20" s="436"/>
      <c r="F20" s="435"/>
      <c r="G20" s="435"/>
      <c r="H20" s="436"/>
      <c r="I20" s="435"/>
      <c r="J20" s="435"/>
      <c r="K20" s="435"/>
      <c r="L20" s="435"/>
      <c r="M20" s="435"/>
      <c r="N20" s="437"/>
    </row>
    <row r="21" spans="1:14" x14ac:dyDescent="0.2">
      <c r="A21" s="565"/>
      <c r="B21" s="566"/>
      <c r="C21" s="567"/>
      <c r="D21" s="567"/>
      <c r="E21" s="436"/>
      <c r="F21" s="435"/>
      <c r="G21" s="435"/>
      <c r="H21" s="436"/>
      <c r="I21" s="435"/>
      <c r="J21" s="435"/>
      <c r="K21" s="435"/>
      <c r="L21" s="435"/>
      <c r="M21" s="435">
        <f t="shared" si="4"/>
        <v>0</v>
      </c>
      <c r="N21" s="437"/>
    </row>
    <row r="22" spans="1:14" x14ac:dyDescent="0.2">
      <c r="A22" s="565" t="s">
        <v>546</v>
      </c>
      <c r="B22" s="566" t="s">
        <v>207</v>
      </c>
      <c r="C22" s="567">
        <v>1514</v>
      </c>
      <c r="D22" s="567">
        <v>0</v>
      </c>
      <c r="E22" s="436"/>
      <c r="F22" s="435">
        <f t="shared" ref="F22:F25" si="10">ROUND(C22,0)</f>
        <v>1514</v>
      </c>
      <c r="G22" s="435">
        <f t="shared" ref="G22:G25" si="11">ROUND(D22,0)</f>
        <v>0</v>
      </c>
      <c r="H22" s="436"/>
      <c r="I22" s="435"/>
      <c r="J22" s="435"/>
      <c r="K22" s="435">
        <f t="shared" si="2"/>
        <v>2</v>
      </c>
      <c r="L22" s="435">
        <f t="shared" si="3"/>
        <v>0</v>
      </c>
      <c r="M22" s="435">
        <f t="shared" si="4"/>
        <v>2</v>
      </c>
      <c r="N22" s="437"/>
    </row>
    <row r="23" spans="1:14" x14ac:dyDescent="0.2">
      <c r="A23" s="565" t="s">
        <v>547</v>
      </c>
      <c r="B23" s="566" t="s">
        <v>208</v>
      </c>
      <c r="C23" s="567">
        <v>0</v>
      </c>
      <c r="D23" s="567">
        <v>1525.69</v>
      </c>
      <c r="E23" s="436"/>
      <c r="F23" s="435"/>
      <c r="G23" s="435"/>
      <c r="H23" s="436"/>
      <c r="I23" s="435"/>
      <c r="J23" s="435"/>
      <c r="K23" s="435"/>
      <c r="L23" s="435"/>
      <c r="M23" s="435"/>
      <c r="N23" s="437"/>
    </row>
    <row r="24" spans="1:14" x14ac:dyDescent="0.2">
      <c r="A24" s="565" t="s">
        <v>548</v>
      </c>
      <c r="B24" s="566" t="s">
        <v>549</v>
      </c>
      <c r="C24" s="567">
        <v>0.06</v>
      </c>
      <c r="D24" s="567">
        <v>0</v>
      </c>
      <c r="E24" s="436"/>
      <c r="F24" s="435">
        <f t="shared" si="10"/>
        <v>0</v>
      </c>
      <c r="G24" s="435">
        <f t="shared" si="11"/>
        <v>0</v>
      </c>
      <c r="H24" s="436"/>
      <c r="I24" s="435"/>
      <c r="J24" s="435"/>
      <c r="K24" s="435">
        <f t="shared" si="2"/>
        <v>0</v>
      </c>
      <c r="L24" s="435">
        <f t="shared" si="3"/>
        <v>0</v>
      </c>
      <c r="M24" s="435">
        <f t="shared" si="4"/>
        <v>0</v>
      </c>
      <c r="N24" s="437"/>
    </row>
    <row r="25" spans="1:14" x14ac:dyDescent="0.2">
      <c r="A25" s="565" t="s">
        <v>550</v>
      </c>
      <c r="B25" s="566" t="s">
        <v>551</v>
      </c>
      <c r="C25" s="567">
        <v>0</v>
      </c>
      <c r="D25" s="567">
        <v>0.06</v>
      </c>
      <c r="E25" s="436"/>
      <c r="F25" s="435">
        <f t="shared" si="10"/>
        <v>0</v>
      </c>
      <c r="G25" s="435">
        <f t="shared" si="11"/>
        <v>0</v>
      </c>
      <c r="H25" s="436"/>
      <c r="I25" s="435"/>
      <c r="J25" s="435"/>
      <c r="K25" s="435">
        <f t="shared" si="2"/>
        <v>0</v>
      </c>
      <c r="L25" s="435">
        <f t="shared" si="3"/>
        <v>0</v>
      </c>
      <c r="M25" s="435">
        <f t="shared" si="4"/>
        <v>0</v>
      </c>
      <c r="N25" s="437"/>
    </row>
    <row r="26" spans="1:14" x14ac:dyDescent="0.2">
      <c r="A26" s="565"/>
      <c r="B26" s="566"/>
      <c r="C26" s="567"/>
      <c r="D26" s="567"/>
      <c r="E26" s="436"/>
      <c r="F26" s="435"/>
      <c r="G26" s="435"/>
      <c r="H26" s="436"/>
      <c r="I26" s="435"/>
      <c r="J26" s="435"/>
      <c r="K26" s="435"/>
      <c r="L26" s="435"/>
      <c r="M26" s="435">
        <f t="shared" si="4"/>
        <v>0</v>
      </c>
      <c r="N26" s="437"/>
    </row>
    <row r="27" spans="1:14" x14ac:dyDescent="0.2">
      <c r="A27" s="565" t="s">
        <v>552</v>
      </c>
      <c r="B27" s="566" t="s">
        <v>209</v>
      </c>
      <c r="C27" s="567">
        <v>4310983.21</v>
      </c>
      <c r="D27" s="567">
        <v>0</v>
      </c>
      <c r="E27" s="436"/>
      <c r="F27" s="435">
        <f t="shared" ref="F27:F33" si="12">ROUND(C27,0)</f>
        <v>4310983</v>
      </c>
      <c r="G27" s="435">
        <f t="shared" ref="G27:G33" si="13">ROUND(D27,0)</f>
        <v>0</v>
      </c>
      <c r="H27" s="436"/>
      <c r="I27" s="435"/>
      <c r="J27" s="435"/>
      <c r="K27" s="435">
        <f t="shared" si="2"/>
        <v>4311</v>
      </c>
      <c r="L27" s="435">
        <f t="shared" si="3"/>
        <v>0</v>
      </c>
      <c r="M27" s="435">
        <f t="shared" si="4"/>
        <v>4311</v>
      </c>
      <c r="N27" s="437"/>
    </row>
    <row r="28" spans="1:14" x14ac:dyDescent="0.2">
      <c r="A28" s="565" t="s">
        <v>553</v>
      </c>
      <c r="B28" s="566" t="s">
        <v>489</v>
      </c>
      <c r="C28" s="567">
        <v>4645894.55</v>
      </c>
      <c r="D28" s="567">
        <v>0</v>
      </c>
      <c r="E28" s="436"/>
      <c r="F28" s="435">
        <f t="shared" si="12"/>
        <v>4645895</v>
      </c>
      <c r="G28" s="435">
        <f t="shared" si="13"/>
        <v>0</v>
      </c>
      <c r="H28" s="436"/>
      <c r="I28" s="435"/>
      <c r="J28" s="435"/>
      <c r="K28" s="435">
        <f t="shared" si="2"/>
        <v>4646</v>
      </c>
      <c r="L28" s="435">
        <f t="shared" si="3"/>
        <v>0</v>
      </c>
      <c r="M28" s="435">
        <f t="shared" si="4"/>
        <v>4646</v>
      </c>
      <c r="N28" s="437"/>
    </row>
    <row r="29" spans="1:14" x14ac:dyDescent="0.2">
      <c r="A29" s="565" t="s">
        <v>554</v>
      </c>
      <c r="B29" s="566" t="s">
        <v>210</v>
      </c>
      <c r="C29" s="567">
        <v>44085</v>
      </c>
      <c r="D29" s="567">
        <v>0</v>
      </c>
      <c r="E29" s="436"/>
      <c r="F29" s="435">
        <f t="shared" ref="F29:F31" si="14">ROUND(C29,0)</f>
        <v>44085</v>
      </c>
      <c r="G29" s="435">
        <f t="shared" ref="G29:G31" si="15">ROUND(D29,0)</f>
        <v>0</v>
      </c>
      <c r="H29" s="436"/>
      <c r="I29" s="435"/>
      <c r="J29" s="435"/>
      <c r="K29" s="435">
        <f t="shared" ref="K29:K31" si="16">ROUND(C29/1000,0)</f>
        <v>44</v>
      </c>
      <c r="L29" s="435">
        <f t="shared" ref="L29:L31" si="17">ROUND(D29/1000,0)</f>
        <v>0</v>
      </c>
      <c r="M29" s="435">
        <f t="shared" ref="M29:M31" si="18">K29-L29</f>
        <v>44</v>
      </c>
      <c r="N29" s="437"/>
    </row>
    <row r="30" spans="1:14" x14ac:dyDescent="0.2">
      <c r="A30" s="565" t="s">
        <v>555</v>
      </c>
      <c r="B30" s="566" t="s">
        <v>556</v>
      </c>
      <c r="C30" s="567">
        <v>98111752.569999993</v>
      </c>
      <c r="D30" s="567">
        <v>0</v>
      </c>
      <c r="E30" s="436"/>
      <c r="F30" s="435">
        <f t="shared" si="14"/>
        <v>98111753</v>
      </c>
      <c r="G30" s="435">
        <f t="shared" si="15"/>
        <v>0</v>
      </c>
      <c r="H30" s="436"/>
      <c r="I30" s="435"/>
      <c r="J30" s="435"/>
      <c r="K30" s="435">
        <f t="shared" si="16"/>
        <v>98112</v>
      </c>
      <c r="L30" s="435">
        <f t="shared" si="17"/>
        <v>0</v>
      </c>
      <c r="M30" s="435">
        <f t="shared" si="18"/>
        <v>98112</v>
      </c>
      <c r="N30" s="437"/>
    </row>
    <row r="31" spans="1:14" x14ac:dyDescent="0.2">
      <c r="A31" s="565" t="s">
        <v>557</v>
      </c>
      <c r="B31" s="566" t="s">
        <v>211</v>
      </c>
      <c r="C31" s="567">
        <v>0</v>
      </c>
      <c r="D31" s="567">
        <v>13.6</v>
      </c>
      <c r="E31" s="436"/>
      <c r="F31" s="435">
        <f t="shared" si="14"/>
        <v>0</v>
      </c>
      <c r="G31" s="435">
        <f t="shared" si="15"/>
        <v>14</v>
      </c>
      <c r="H31" s="436"/>
      <c r="I31" s="435"/>
      <c r="J31" s="435"/>
      <c r="K31" s="435">
        <f t="shared" si="16"/>
        <v>0</v>
      </c>
      <c r="L31" s="435">
        <f t="shared" si="17"/>
        <v>0</v>
      </c>
      <c r="M31" s="435">
        <f t="shared" si="18"/>
        <v>0</v>
      </c>
      <c r="N31" s="437"/>
    </row>
    <row r="32" spans="1:14" x14ac:dyDescent="0.2">
      <c r="A32" s="565" t="s">
        <v>558</v>
      </c>
      <c r="B32" s="566" t="s">
        <v>212</v>
      </c>
      <c r="C32" s="567">
        <v>4577692.6900000004</v>
      </c>
      <c r="D32" s="567">
        <v>0</v>
      </c>
      <c r="E32" s="436"/>
      <c r="F32" s="435">
        <f t="shared" si="12"/>
        <v>4577693</v>
      </c>
      <c r="G32" s="435">
        <f t="shared" si="13"/>
        <v>0</v>
      </c>
      <c r="H32" s="436"/>
      <c r="I32" s="435"/>
      <c r="J32" s="435"/>
      <c r="K32" s="435">
        <f t="shared" si="2"/>
        <v>4578</v>
      </c>
      <c r="L32" s="435">
        <f t="shared" si="3"/>
        <v>0</v>
      </c>
      <c r="M32" s="435">
        <f t="shared" si="4"/>
        <v>4578</v>
      </c>
      <c r="N32" s="437"/>
    </row>
    <row r="33" spans="1:15" x14ac:dyDescent="0.2">
      <c r="A33" s="565"/>
      <c r="B33" s="566"/>
      <c r="C33" s="567"/>
      <c r="D33" s="567"/>
      <c r="E33" s="436"/>
      <c r="F33" s="435">
        <f t="shared" si="12"/>
        <v>0</v>
      </c>
      <c r="G33" s="435">
        <f t="shared" si="13"/>
        <v>0</v>
      </c>
      <c r="H33" s="436"/>
      <c r="I33" s="435"/>
      <c r="J33" s="435"/>
      <c r="K33" s="435">
        <f t="shared" si="2"/>
        <v>0</v>
      </c>
      <c r="L33" s="435">
        <f t="shared" si="3"/>
        <v>0</v>
      </c>
      <c r="M33" s="435">
        <f t="shared" si="4"/>
        <v>0</v>
      </c>
      <c r="N33" s="437"/>
    </row>
    <row r="34" spans="1:15" x14ac:dyDescent="0.2">
      <c r="A34" s="565"/>
      <c r="B34" s="566"/>
      <c r="C34" s="567"/>
      <c r="D34" s="567"/>
      <c r="E34" s="436"/>
      <c r="F34" s="435"/>
      <c r="G34" s="435"/>
      <c r="H34" s="436"/>
      <c r="I34" s="435"/>
      <c r="J34" s="435"/>
      <c r="K34" s="435"/>
      <c r="L34" s="435"/>
      <c r="M34" s="435"/>
      <c r="N34" s="437"/>
      <c r="O34" s="417">
        <f>SUM(M27:M34)</f>
        <v>111691</v>
      </c>
    </row>
    <row r="35" spans="1:15" x14ac:dyDescent="0.2">
      <c r="A35" s="565" t="s">
        <v>559</v>
      </c>
      <c r="B35" s="566" t="s">
        <v>560</v>
      </c>
      <c r="C35" s="567">
        <v>0</v>
      </c>
      <c r="D35" s="567">
        <v>0.6</v>
      </c>
      <c r="E35" s="436"/>
      <c r="F35" s="435">
        <f t="shared" ref="F35:F40" si="19">ROUND(C35,0)</f>
        <v>0</v>
      </c>
      <c r="G35" s="435">
        <f t="shared" ref="G35:G40" si="20">ROUND(D35,0)</f>
        <v>1</v>
      </c>
      <c r="H35" s="436"/>
      <c r="I35" s="435"/>
      <c r="J35" s="435"/>
      <c r="K35" s="435">
        <f t="shared" si="2"/>
        <v>0</v>
      </c>
      <c r="L35" s="435">
        <f t="shared" si="3"/>
        <v>0</v>
      </c>
      <c r="M35" s="435">
        <f t="shared" si="4"/>
        <v>0</v>
      </c>
      <c r="N35" s="437"/>
    </row>
    <row r="36" spans="1:15" x14ac:dyDescent="0.2">
      <c r="A36" s="565" t="s">
        <v>561</v>
      </c>
      <c r="B36" s="566" t="s">
        <v>213</v>
      </c>
      <c r="C36" s="567">
        <v>386454.85000000003</v>
      </c>
      <c r="D36" s="567">
        <v>0</v>
      </c>
      <c r="E36" s="436"/>
      <c r="F36" s="435"/>
      <c r="G36" s="435"/>
      <c r="H36" s="436"/>
      <c r="I36" s="435"/>
      <c r="J36" s="435"/>
      <c r="K36" s="435">
        <f t="shared" ref="K36:K37" si="21">ROUND(C36/1000,0)</f>
        <v>386</v>
      </c>
      <c r="L36" s="435">
        <f t="shared" ref="L36:L37" si="22">ROUND(D36/1000,0)</f>
        <v>0</v>
      </c>
      <c r="M36" s="435">
        <f t="shared" ref="M36:M37" si="23">K36-L36</f>
        <v>386</v>
      </c>
      <c r="N36" s="437"/>
    </row>
    <row r="37" spans="1:15" x14ac:dyDescent="0.2">
      <c r="A37" s="565" t="s">
        <v>562</v>
      </c>
      <c r="B37" s="566" t="s">
        <v>214</v>
      </c>
      <c r="C37" s="567">
        <v>477072.60000000003</v>
      </c>
      <c r="D37" s="567">
        <v>0</v>
      </c>
      <c r="E37" s="436"/>
      <c r="F37" s="435"/>
      <c r="G37" s="435"/>
      <c r="H37" s="436"/>
      <c r="I37" s="435"/>
      <c r="J37" s="435"/>
      <c r="K37" s="435">
        <f t="shared" si="21"/>
        <v>477</v>
      </c>
      <c r="L37" s="435">
        <f t="shared" si="22"/>
        <v>0</v>
      </c>
      <c r="M37" s="435">
        <f t="shared" si="23"/>
        <v>477</v>
      </c>
      <c r="N37" s="437"/>
    </row>
    <row r="38" spans="1:15" x14ac:dyDescent="0.2">
      <c r="A38" s="565" t="s">
        <v>563</v>
      </c>
      <c r="B38" s="566" t="s">
        <v>564</v>
      </c>
      <c r="C38" s="567">
        <v>0</v>
      </c>
      <c r="D38" s="567">
        <v>295</v>
      </c>
      <c r="E38" s="436"/>
      <c r="F38" s="435">
        <f t="shared" si="19"/>
        <v>0</v>
      </c>
      <c r="G38" s="435">
        <f t="shared" si="20"/>
        <v>295</v>
      </c>
      <c r="H38" s="436"/>
      <c r="I38" s="435"/>
      <c r="J38" s="435"/>
      <c r="K38" s="435">
        <f t="shared" si="2"/>
        <v>0</v>
      </c>
      <c r="L38" s="435">
        <f t="shared" si="3"/>
        <v>0</v>
      </c>
      <c r="M38" s="435">
        <f t="shared" si="4"/>
        <v>0</v>
      </c>
      <c r="N38" s="437"/>
    </row>
    <row r="39" spans="1:15" x14ac:dyDescent="0.2">
      <c r="A39" s="565" t="s">
        <v>565</v>
      </c>
      <c r="B39" s="566" t="s">
        <v>215</v>
      </c>
      <c r="C39" s="567">
        <v>23304.68</v>
      </c>
      <c r="D39" s="567">
        <v>0</v>
      </c>
      <c r="E39" s="436"/>
      <c r="F39" s="435">
        <f t="shared" si="19"/>
        <v>23305</v>
      </c>
      <c r="G39" s="435">
        <f t="shared" si="20"/>
        <v>0</v>
      </c>
      <c r="H39" s="436"/>
      <c r="I39" s="435"/>
      <c r="J39" s="435"/>
      <c r="K39" s="435">
        <f t="shared" si="2"/>
        <v>23</v>
      </c>
      <c r="L39" s="435">
        <f t="shared" si="3"/>
        <v>0</v>
      </c>
      <c r="M39" s="435">
        <f t="shared" si="4"/>
        <v>23</v>
      </c>
      <c r="N39" s="437"/>
    </row>
    <row r="40" spans="1:15" x14ac:dyDescent="0.2">
      <c r="A40" s="565" t="s">
        <v>566</v>
      </c>
      <c r="B40" s="566" t="s">
        <v>216</v>
      </c>
      <c r="C40" s="567">
        <v>6935.6</v>
      </c>
      <c r="D40" s="567">
        <v>0</v>
      </c>
      <c r="E40" s="436"/>
      <c r="F40" s="435">
        <f t="shared" si="19"/>
        <v>6936</v>
      </c>
      <c r="G40" s="435">
        <f t="shared" si="20"/>
        <v>0</v>
      </c>
      <c r="H40" s="436"/>
      <c r="I40" s="435"/>
      <c r="J40" s="435"/>
      <c r="K40" s="435">
        <f t="shared" si="2"/>
        <v>7</v>
      </c>
      <c r="L40" s="435">
        <v>0.7</v>
      </c>
      <c r="M40" s="435">
        <f>K40-L40</f>
        <v>6.3</v>
      </c>
      <c r="N40" s="437"/>
    </row>
    <row r="41" spans="1:15" ht="12.75" thickBot="1" x14ac:dyDescent="0.25">
      <c r="A41" s="576"/>
      <c r="B41" s="577"/>
      <c r="C41" s="578"/>
      <c r="D41" s="578"/>
      <c r="E41" s="440"/>
      <c r="F41" s="439"/>
      <c r="G41" s="439"/>
      <c r="H41" s="440"/>
      <c r="I41" s="439"/>
      <c r="J41" s="439"/>
      <c r="K41" s="439"/>
      <c r="L41" s="439"/>
      <c r="M41" s="439"/>
      <c r="N41" s="441"/>
    </row>
    <row r="42" spans="1:15" x14ac:dyDescent="0.2">
      <c r="A42" s="579"/>
      <c r="B42" s="566"/>
      <c r="C42" s="567"/>
      <c r="D42" s="567"/>
      <c r="E42" s="436"/>
      <c r="F42" s="435"/>
      <c r="G42" s="435"/>
      <c r="H42" s="436"/>
      <c r="I42" s="435"/>
      <c r="J42" s="435"/>
      <c r="K42" s="435"/>
      <c r="L42" s="435"/>
      <c r="M42" s="445">
        <f>SUM(M7:M41)</f>
        <v>15355248.300000001</v>
      </c>
      <c r="N42" s="434"/>
    </row>
    <row r="43" spans="1:15" x14ac:dyDescent="0.2">
      <c r="A43" s="579"/>
      <c r="B43" s="566"/>
      <c r="C43" s="567"/>
      <c r="D43" s="567"/>
      <c r="E43" s="436"/>
      <c r="F43" s="435"/>
      <c r="G43" s="435"/>
      <c r="H43" s="436"/>
      <c r="I43" s="435"/>
      <c r="J43" s="435"/>
      <c r="K43" s="435"/>
      <c r="L43" s="435"/>
      <c r="M43" s="435"/>
      <c r="N43" s="434"/>
    </row>
    <row r="44" spans="1:15" ht="12.75" thickBot="1" x14ac:dyDescent="0.25">
      <c r="A44" s="580" t="s">
        <v>300</v>
      </c>
      <c r="B44" s="566"/>
      <c r="C44" s="567"/>
      <c r="D44" s="567"/>
      <c r="E44" s="436"/>
      <c r="F44" s="435"/>
      <c r="G44" s="435"/>
      <c r="H44" s="436"/>
      <c r="I44" s="435"/>
      <c r="J44" s="435"/>
      <c r="K44" s="435"/>
      <c r="L44" s="435"/>
      <c r="M44" s="435"/>
      <c r="N44" s="434"/>
    </row>
    <row r="45" spans="1:15" x14ac:dyDescent="0.2">
      <c r="A45" s="573"/>
      <c r="B45" s="574"/>
      <c r="C45" s="575"/>
      <c r="D45" s="575"/>
      <c r="E45" s="431"/>
      <c r="F45" s="430">
        <f t="shared" ref="F45:F53" si="24">ROUND(C45,0)</f>
        <v>0</v>
      </c>
      <c r="G45" s="430">
        <f t="shared" ref="G45:G53" si="25">ROUND(D45,0)</f>
        <v>0</v>
      </c>
      <c r="H45" s="431"/>
      <c r="I45" s="430"/>
      <c r="J45" s="430"/>
      <c r="K45" s="430">
        <f t="shared" si="2"/>
        <v>0</v>
      </c>
      <c r="L45" s="430">
        <f t="shared" si="3"/>
        <v>0</v>
      </c>
      <c r="M45" s="430"/>
      <c r="N45" s="432"/>
    </row>
    <row r="46" spans="1:15" x14ac:dyDescent="0.2">
      <c r="A46" s="565" t="s">
        <v>567</v>
      </c>
      <c r="B46" s="566" t="s">
        <v>217</v>
      </c>
      <c r="C46" s="567">
        <v>0</v>
      </c>
      <c r="D46" s="567">
        <v>29587109910.150002</v>
      </c>
      <c r="E46" s="436"/>
      <c r="F46" s="435">
        <f t="shared" si="24"/>
        <v>0</v>
      </c>
      <c r="G46" s="435">
        <f t="shared" si="25"/>
        <v>29587109910</v>
      </c>
      <c r="H46" s="436"/>
      <c r="I46" s="435"/>
      <c r="J46" s="435"/>
      <c r="K46" s="435">
        <f t="shared" si="2"/>
        <v>0</v>
      </c>
      <c r="L46" s="435">
        <f t="shared" si="3"/>
        <v>29587110</v>
      </c>
      <c r="M46" s="435"/>
      <c r="N46" s="437"/>
    </row>
    <row r="47" spans="1:15" x14ac:dyDescent="0.2">
      <c r="A47" s="565" t="s">
        <v>568</v>
      </c>
      <c r="B47" s="566" t="s">
        <v>459</v>
      </c>
      <c r="C47" s="567">
        <v>0</v>
      </c>
      <c r="D47" s="567">
        <v>51743459.170000002</v>
      </c>
      <c r="E47" s="436"/>
      <c r="F47" s="435">
        <f t="shared" si="24"/>
        <v>0</v>
      </c>
      <c r="G47" s="435">
        <f t="shared" si="25"/>
        <v>51743459</v>
      </c>
      <c r="H47" s="436"/>
      <c r="I47" s="435"/>
      <c r="J47" s="435"/>
      <c r="K47" s="435">
        <f t="shared" si="2"/>
        <v>0</v>
      </c>
      <c r="L47" s="435">
        <f t="shared" si="3"/>
        <v>51743</v>
      </c>
      <c r="M47" s="435"/>
      <c r="N47" s="437"/>
    </row>
    <row r="48" spans="1:15" x14ac:dyDescent="0.2">
      <c r="A48" s="565" t="s">
        <v>569</v>
      </c>
      <c r="B48" s="566" t="s">
        <v>218</v>
      </c>
      <c r="C48" s="567">
        <v>19834556658.650002</v>
      </c>
      <c r="D48" s="567">
        <v>0</v>
      </c>
      <c r="E48" s="436"/>
      <c r="F48" s="435">
        <f t="shared" si="24"/>
        <v>19834556659</v>
      </c>
      <c r="G48" s="435">
        <f t="shared" si="25"/>
        <v>0</v>
      </c>
      <c r="H48" s="436"/>
      <c r="I48" s="435"/>
      <c r="J48" s="435"/>
      <c r="K48" s="435">
        <f t="shared" si="2"/>
        <v>19834557</v>
      </c>
      <c r="L48" s="435">
        <f t="shared" si="3"/>
        <v>0</v>
      </c>
      <c r="M48" s="435">
        <f>L46+L47-K48</f>
        <v>9804296</v>
      </c>
      <c r="N48" s="437"/>
    </row>
    <row r="49" spans="1:14" x14ac:dyDescent="0.2">
      <c r="A49" s="565" t="s">
        <v>570</v>
      </c>
      <c r="B49" s="566" t="s">
        <v>219</v>
      </c>
      <c r="C49" s="567">
        <v>0</v>
      </c>
      <c r="D49" s="567">
        <v>9289265844.1399994</v>
      </c>
      <c r="E49" s="436"/>
      <c r="F49" s="435">
        <f t="shared" si="24"/>
        <v>0</v>
      </c>
      <c r="G49" s="435">
        <f t="shared" si="25"/>
        <v>9289265844</v>
      </c>
      <c r="H49" s="436"/>
      <c r="I49" s="435"/>
      <c r="J49" s="435"/>
      <c r="K49" s="435">
        <f t="shared" ref="K49" si="26">ROUND(C49/1000,0)</f>
        <v>0</v>
      </c>
      <c r="L49" s="435">
        <f t="shared" ref="L49" si="27">ROUND(D49/1000,0)</f>
        <v>9289266</v>
      </c>
      <c r="M49" s="435"/>
      <c r="N49" s="437"/>
    </row>
    <row r="50" spans="1:14" x14ac:dyDescent="0.2">
      <c r="A50" s="565" t="s">
        <v>571</v>
      </c>
      <c r="B50" s="566" t="s">
        <v>220</v>
      </c>
      <c r="C50" s="567">
        <v>6846678901.1400003</v>
      </c>
      <c r="D50" s="567">
        <v>0</v>
      </c>
      <c r="E50" s="436"/>
      <c r="F50" s="435">
        <f t="shared" si="24"/>
        <v>6846678901</v>
      </c>
      <c r="G50" s="435">
        <f t="shared" si="25"/>
        <v>0</v>
      </c>
      <c r="H50" s="436"/>
      <c r="I50" s="435"/>
      <c r="J50" s="435"/>
      <c r="K50" s="435">
        <f t="shared" ref="K50" si="28">ROUND(C50/1000,0)</f>
        <v>6846679</v>
      </c>
      <c r="L50" s="435">
        <f t="shared" ref="L50" si="29">ROUND(D50/1000,0)</f>
        <v>0</v>
      </c>
      <c r="M50" s="435">
        <f>K50-L49</f>
        <v>-2442587</v>
      </c>
      <c r="N50" s="437"/>
    </row>
    <row r="51" spans="1:14" x14ac:dyDescent="0.2">
      <c r="A51" s="565" t="s">
        <v>572</v>
      </c>
      <c r="B51" s="566" t="s">
        <v>221</v>
      </c>
      <c r="C51" s="567">
        <v>36573935.32</v>
      </c>
      <c r="D51" s="567">
        <v>0</v>
      </c>
      <c r="E51" s="436"/>
      <c r="F51" s="435">
        <f t="shared" si="24"/>
        <v>36573935</v>
      </c>
      <c r="G51" s="435">
        <f t="shared" si="25"/>
        <v>0</v>
      </c>
      <c r="H51" s="436"/>
      <c r="I51" s="435"/>
      <c r="J51" s="435"/>
      <c r="K51" s="435">
        <f t="shared" si="2"/>
        <v>36574</v>
      </c>
      <c r="L51" s="435">
        <f t="shared" si="3"/>
        <v>0</v>
      </c>
      <c r="M51" s="435"/>
      <c r="N51" s="437"/>
    </row>
    <row r="52" spans="1:14" x14ac:dyDescent="0.2">
      <c r="A52" s="565" t="s">
        <v>573</v>
      </c>
      <c r="B52" s="566" t="s">
        <v>222</v>
      </c>
      <c r="C52" s="567">
        <v>112960060.48</v>
      </c>
      <c r="D52" s="567">
        <v>0</v>
      </c>
      <c r="E52" s="436"/>
      <c r="F52" s="435">
        <f t="shared" si="24"/>
        <v>112960060</v>
      </c>
      <c r="G52" s="435">
        <f t="shared" si="25"/>
        <v>0</v>
      </c>
      <c r="H52" s="436"/>
      <c r="I52" s="435"/>
      <c r="J52" s="435"/>
      <c r="K52" s="435">
        <f t="shared" si="2"/>
        <v>112960</v>
      </c>
      <c r="L52" s="435">
        <f t="shared" si="3"/>
        <v>0</v>
      </c>
      <c r="M52" s="435"/>
      <c r="N52" s="437"/>
    </row>
    <row r="53" spans="1:14" x14ac:dyDescent="0.2">
      <c r="A53" s="565" t="s">
        <v>574</v>
      </c>
      <c r="B53" s="566" t="s">
        <v>460</v>
      </c>
      <c r="C53" s="567">
        <v>541227276.36000001</v>
      </c>
      <c r="D53" s="567">
        <v>0</v>
      </c>
      <c r="E53" s="436"/>
      <c r="F53" s="435">
        <f t="shared" si="24"/>
        <v>541227276</v>
      </c>
      <c r="G53" s="435">
        <f t="shared" si="25"/>
        <v>0</v>
      </c>
      <c r="H53" s="436"/>
      <c r="I53" s="435"/>
      <c r="J53" s="435"/>
      <c r="K53" s="435">
        <f t="shared" si="2"/>
        <v>541227</v>
      </c>
      <c r="L53" s="435">
        <f t="shared" si="3"/>
        <v>0</v>
      </c>
      <c r="M53" s="435"/>
      <c r="N53" s="437"/>
    </row>
    <row r="54" spans="1:14" ht="12.75" thickBot="1" x14ac:dyDescent="0.25">
      <c r="A54" s="576"/>
      <c r="B54" s="577"/>
      <c r="C54" s="578"/>
      <c r="D54" s="578"/>
      <c r="E54" s="440"/>
      <c r="F54" s="439"/>
      <c r="G54" s="439"/>
      <c r="H54" s="440"/>
      <c r="I54" s="439"/>
      <c r="J54" s="439"/>
      <c r="K54" s="439"/>
      <c r="L54" s="439"/>
      <c r="M54" s="439"/>
      <c r="N54" s="441"/>
    </row>
    <row r="55" spans="1:14" x14ac:dyDescent="0.2">
      <c r="A55" s="581"/>
      <c r="B55" s="568"/>
      <c r="C55" s="569"/>
      <c r="D55" s="569"/>
    </row>
    <row r="56" spans="1:14" x14ac:dyDescent="0.2">
      <c r="A56" s="581"/>
      <c r="B56" s="568"/>
      <c r="C56" s="569"/>
      <c r="D56" s="569"/>
    </row>
    <row r="57" spans="1:14" x14ac:dyDescent="0.2">
      <c r="A57" s="581"/>
      <c r="B57" s="568"/>
      <c r="C57" s="569"/>
      <c r="D57" s="569"/>
    </row>
    <row r="58" spans="1:14" ht="12.75" thickBot="1" x14ac:dyDescent="0.25">
      <c r="A58" s="582" t="s">
        <v>301</v>
      </c>
      <c r="B58" s="568"/>
      <c r="C58" s="569"/>
      <c r="D58" s="569"/>
    </row>
    <row r="59" spans="1:14" x14ac:dyDescent="0.2">
      <c r="A59" s="573" t="s">
        <v>575</v>
      </c>
      <c r="B59" s="574" t="s">
        <v>223</v>
      </c>
      <c r="C59" s="575">
        <v>0</v>
      </c>
      <c r="D59" s="575">
        <v>3118616365.1100001</v>
      </c>
      <c r="E59" s="431"/>
      <c r="F59" s="430">
        <f t="shared" ref="F59:F74" si="30">ROUND(C59,0)</f>
        <v>0</v>
      </c>
      <c r="G59" s="430">
        <f t="shared" ref="G59:G74" si="31">ROUND(D59,0)</f>
        <v>3118616365</v>
      </c>
      <c r="H59" s="431"/>
      <c r="I59" s="430"/>
      <c r="J59" s="430"/>
      <c r="K59" s="430">
        <f t="shared" si="2"/>
        <v>0</v>
      </c>
      <c r="L59" s="430">
        <f t="shared" si="3"/>
        <v>3118616</v>
      </c>
      <c r="M59" s="430">
        <f>L59-K59</f>
        <v>3118616</v>
      </c>
      <c r="N59" s="432"/>
    </row>
    <row r="60" spans="1:14" s="584" customFormat="1" x14ac:dyDescent="0.2">
      <c r="A60" s="563" t="s">
        <v>576</v>
      </c>
      <c r="B60" s="564" t="s">
        <v>224</v>
      </c>
      <c r="C60" s="539">
        <v>0</v>
      </c>
      <c r="D60" s="539">
        <v>496318.23</v>
      </c>
      <c r="E60" s="539"/>
      <c r="F60" s="539">
        <f t="shared" si="30"/>
        <v>0</v>
      </c>
      <c r="G60" s="539">
        <f t="shared" si="31"/>
        <v>496318</v>
      </c>
      <c r="H60" s="539"/>
      <c r="I60" s="539"/>
      <c r="J60" s="539"/>
      <c r="K60" s="539">
        <f t="shared" si="2"/>
        <v>0</v>
      </c>
      <c r="L60" s="539">
        <f t="shared" si="3"/>
        <v>496</v>
      </c>
      <c r="M60" s="539">
        <f>L60-K60</f>
        <v>496</v>
      </c>
      <c r="N60" s="583"/>
    </row>
    <row r="61" spans="1:14" s="584" customFormat="1" x14ac:dyDescent="0.2">
      <c r="A61" s="563" t="s">
        <v>577</v>
      </c>
      <c r="B61" s="564" t="s">
        <v>225</v>
      </c>
      <c r="C61" s="539">
        <v>0</v>
      </c>
      <c r="D61" s="539">
        <v>1.49</v>
      </c>
      <c r="E61" s="539"/>
      <c r="F61" s="539">
        <f t="shared" si="30"/>
        <v>0</v>
      </c>
      <c r="G61" s="539">
        <f t="shared" si="31"/>
        <v>1</v>
      </c>
      <c r="H61" s="539"/>
      <c r="I61" s="539"/>
      <c r="J61" s="539"/>
      <c r="K61" s="539">
        <f t="shared" si="2"/>
        <v>0</v>
      </c>
      <c r="L61" s="539">
        <f t="shared" si="3"/>
        <v>0</v>
      </c>
      <c r="M61" s="539">
        <f t="shared" ref="M61:M73" si="32">L61-K61</f>
        <v>0</v>
      </c>
      <c r="N61" s="583"/>
    </row>
    <row r="62" spans="1:14" s="584" customFormat="1" x14ac:dyDescent="0.2">
      <c r="A62" s="563" t="s">
        <v>578</v>
      </c>
      <c r="B62" s="564" t="s">
        <v>226</v>
      </c>
      <c r="C62" s="539">
        <v>0</v>
      </c>
      <c r="D62" s="539">
        <v>64522.07</v>
      </c>
      <c r="E62" s="539"/>
      <c r="F62" s="539">
        <f t="shared" si="30"/>
        <v>0</v>
      </c>
      <c r="G62" s="539">
        <f t="shared" si="31"/>
        <v>64522</v>
      </c>
      <c r="H62" s="539"/>
      <c r="I62" s="539"/>
      <c r="J62" s="539"/>
      <c r="K62" s="539">
        <f t="shared" si="2"/>
        <v>0</v>
      </c>
      <c r="L62" s="539">
        <f t="shared" si="3"/>
        <v>65</v>
      </c>
      <c r="M62" s="539">
        <f t="shared" si="32"/>
        <v>65</v>
      </c>
      <c r="N62" s="583"/>
    </row>
    <row r="63" spans="1:14" s="589" customFormat="1" x14ac:dyDescent="0.2">
      <c r="A63" s="585" t="s">
        <v>579</v>
      </c>
      <c r="B63" s="586" t="s">
        <v>227</v>
      </c>
      <c r="C63" s="587">
        <v>0</v>
      </c>
      <c r="D63" s="587">
        <v>11932884.439999999</v>
      </c>
      <c r="E63" s="587"/>
      <c r="F63" s="587">
        <f t="shared" si="30"/>
        <v>0</v>
      </c>
      <c r="G63" s="587">
        <f t="shared" si="31"/>
        <v>11932884</v>
      </c>
      <c r="H63" s="587"/>
      <c r="I63" s="587"/>
      <c r="J63" s="587"/>
      <c r="K63" s="587">
        <f t="shared" si="2"/>
        <v>0</v>
      </c>
      <c r="L63" s="587">
        <f>ROUND(D63/1000,0)</f>
        <v>11933</v>
      </c>
      <c r="M63" s="587">
        <f t="shared" si="32"/>
        <v>11933</v>
      </c>
      <c r="N63" s="588"/>
    </row>
    <row r="64" spans="1:14" s="584" customFormat="1" x14ac:dyDescent="0.2">
      <c r="A64" s="563" t="s">
        <v>580</v>
      </c>
      <c r="B64" s="564" t="s">
        <v>228</v>
      </c>
      <c r="C64" s="539">
        <v>0</v>
      </c>
      <c r="D64" s="539">
        <v>40678.400000000001</v>
      </c>
      <c r="E64" s="539"/>
      <c r="F64" s="539">
        <f t="shared" si="30"/>
        <v>0</v>
      </c>
      <c r="G64" s="539">
        <f t="shared" si="31"/>
        <v>40678</v>
      </c>
      <c r="H64" s="539"/>
      <c r="I64" s="539"/>
      <c r="J64" s="539"/>
      <c r="K64" s="539">
        <f t="shared" si="2"/>
        <v>0</v>
      </c>
      <c r="L64" s="539">
        <f>ROUND(D64/1000,0)</f>
        <v>41</v>
      </c>
      <c r="M64" s="539">
        <f t="shared" si="32"/>
        <v>41</v>
      </c>
      <c r="N64" s="583"/>
    </row>
    <row r="65" spans="1:14" s="584" customFormat="1" x14ac:dyDescent="0.2">
      <c r="A65" s="563" t="s">
        <v>581</v>
      </c>
      <c r="B65" s="564" t="s">
        <v>229</v>
      </c>
      <c r="C65" s="539">
        <v>0</v>
      </c>
      <c r="D65" s="539">
        <v>312903.77</v>
      </c>
      <c r="E65" s="539"/>
      <c r="F65" s="539">
        <f t="shared" si="30"/>
        <v>0</v>
      </c>
      <c r="G65" s="539">
        <f t="shared" si="31"/>
        <v>312904</v>
      </c>
      <c r="H65" s="539"/>
      <c r="I65" s="539"/>
      <c r="J65" s="539"/>
      <c r="K65" s="539">
        <f t="shared" si="2"/>
        <v>0</v>
      </c>
      <c r="L65" s="539">
        <f t="shared" si="3"/>
        <v>313</v>
      </c>
      <c r="M65" s="539">
        <f t="shared" si="32"/>
        <v>313</v>
      </c>
      <c r="N65" s="583"/>
    </row>
    <row r="66" spans="1:14" s="584" customFormat="1" x14ac:dyDescent="0.2">
      <c r="A66" s="563" t="s">
        <v>582</v>
      </c>
      <c r="B66" s="564" t="s">
        <v>230</v>
      </c>
      <c r="C66" s="539">
        <v>0</v>
      </c>
      <c r="D66" s="539">
        <v>1044274</v>
      </c>
      <c r="E66" s="539"/>
      <c r="F66" s="539">
        <f t="shared" si="30"/>
        <v>0</v>
      </c>
      <c r="G66" s="539">
        <f t="shared" si="31"/>
        <v>1044274</v>
      </c>
      <c r="H66" s="539"/>
      <c r="I66" s="539"/>
      <c r="J66" s="539"/>
      <c r="K66" s="539">
        <f>ROUND(C66/1000,1)</f>
        <v>0</v>
      </c>
      <c r="L66" s="539">
        <f t="shared" si="3"/>
        <v>1044</v>
      </c>
      <c r="M66" s="539">
        <f t="shared" si="32"/>
        <v>1044</v>
      </c>
      <c r="N66" s="583"/>
    </row>
    <row r="67" spans="1:14" x14ac:dyDescent="0.2">
      <c r="A67" s="565" t="s">
        <v>583</v>
      </c>
      <c r="B67" s="566" t="s">
        <v>231</v>
      </c>
      <c r="C67" s="567">
        <v>0</v>
      </c>
      <c r="D67" s="567">
        <v>9810780.4600000009</v>
      </c>
      <c r="E67" s="436"/>
      <c r="F67" s="435">
        <f t="shared" si="30"/>
        <v>0</v>
      </c>
      <c r="G67" s="435">
        <f t="shared" si="31"/>
        <v>9810780</v>
      </c>
      <c r="H67" s="436"/>
      <c r="I67" s="435"/>
      <c r="J67" s="503"/>
      <c r="K67" s="435">
        <f t="shared" si="2"/>
        <v>0</v>
      </c>
      <c r="L67" s="503">
        <f>G67/1000</f>
        <v>9810.7800000000007</v>
      </c>
      <c r="M67" s="444">
        <f t="shared" si="32"/>
        <v>9810.7800000000007</v>
      </c>
      <c r="N67" s="437"/>
    </row>
    <row r="68" spans="1:14" x14ac:dyDescent="0.2">
      <c r="A68" s="565" t="s">
        <v>584</v>
      </c>
      <c r="B68" s="566" t="s">
        <v>232</v>
      </c>
      <c r="C68" s="567">
        <v>0</v>
      </c>
      <c r="D68" s="567">
        <v>27401.200000000001</v>
      </c>
      <c r="E68" s="436"/>
      <c r="F68" s="435">
        <f t="shared" si="30"/>
        <v>0</v>
      </c>
      <c r="G68" s="435">
        <f t="shared" si="31"/>
        <v>27401</v>
      </c>
      <c r="H68" s="436"/>
      <c r="I68" s="435"/>
      <c r="J68" s="435"/>
      <c r="K68" s="435">
        <f t="shared" si="2"/>
        <v>0</v>
      </c>
      <c r="L68" s="435">
        <f t="shared" si="3"/>
        <v>27</v>
      </c>
      <c r="M68" s="435">
        <f t="shared" si="32"/>
        <v>27</v>
      </c>
      <c r="N68" s="437"/>
    </row>
    <row r="69" spans="1:14" s="589" customFormat="1" x14ac:dyDescent="0.2">
      <c r="A69" s="585" t="s">
        <v>585</v>
      </c>
      <c r="B69" s="586" t="s">
        <v>233</v>
      </c>
      <c r="C69" s="587">
        <v>0</v>
      </c>
      <c r="D69" s="587">
        <v>0.9</v>
      </c>
      <c r="E69" s="587"/>
      <c r="F69" s="587">
        <f t="shared" si="30"/>
        <v>0</v>
      </c>
      <c r="G69" s="587">
        <f t="shared" si="31"/>
        <v>1</v>
      </c>
      <c r="H69" s="587"/>
      <c r="I69" s="587"/>
      <c r="J69" s="587"/>
      <c r="K69" s="587">
        <f t="shared" si="2"/>
        <v>0</v>
      </c>
      <c r="L69" s="587">
        <f t="shared" si="3"/>
        <v>0</v>
      </c>
      <c r="M69" s="587">
        <f t="shared" si="32"/>
        <v>0</v>
      </c>
      <c r="N69" s="588"/>
    </row>
    <row r="70" spans="1:14" s="589" customFormat="1" x14ac:dyDescent="0.2">
      <c r="A70" s="585" t="s">
        <v>586</v>
      </c>
      <c r="B70" s="586" t="s">
        <v>234</v>
      </c>
      <c r="C70" s="587">
        <v>0</v>
      </c>
      <c r="D70" s="587">
        <v>312955.73</v>
      </c>
      <c r="E70" s="587"/>
      <c r="F70" s="587">
        <f t="shared" si="30"/>
        <v>0</v>
      </c>
      <c r="G70" s="587">
        <f t="shared" si="31"/>
        <v>312956</v>
      </c>
      <c r="H70" s="587"/>
      <c r="I70" s="587"/>
      <c r="J70" s="587"/>
      <c r="K70" s="587">
        <f t="shared" si="2"/>
        <v>0</v>
      </c>
      <c r="L70" s="587">
        <f t="shared" si="3"/>
        <v>313</v>
      </c>
      <c r="M70" s="587">
        <f t="shared" si="32"/>
        <v>313</v>
      </c>
      <c r="N70" s="588"/>
    </row>
    <row r="71" spans="1:14" s="589" customFormat="1" x14ac:dyDescent="0.2">
      <c r="A71" s="585" t="s">
        <v>587</v>
      </c>
      <c r="B71" s="586" t="s">
        <v>235</v>
      </c>
      <c r="C71" s="587">
        <v>0</v>
      </c>
      <c r="D71" s="587">
        <v>12231</v>
      </c>
      <c r="E71" s="587"/>
      <c r="F71" s="587">
        <f t="shared" si="30"/>
        <v>0</v>
      </c>
      <c r="G71" s="587">
        <f t="shared" si="31"/>
        <v>12231</v>
      </c>
      <c r="H71" s="587"/>
      <c r="I71" s="587"/>
      <c r="J71" s="587"/>
      <c r="K71" s="587">
        <f t="shared" si="2"/>
        <v>0</v>
      </c>
      <c r="L71" s="587">
        <f t="shared" si="3"/>
        <v>12</v>
      </c>
      <c r="M71" s="587">
        <f t="shared" si="32"/>
        <v>12</v>
      </c>
      <c r="N71" s="588"/>
    </row>
    <row r="72" spans="1:14" s="589" customFormat="1" x14ac:dyDescent="0.2">
      <c r="A72" s="585" t="s">
        <v>588</v>
      </c>
      <c r="B72" s="586" t="s">
        <v>236</v>
      </c>
      <c r="C72" s="587">
        <v>0</v>
      </c>
      <c r="D72" s="587">
        <v>48163.31</v>
      </c>
      <c r="E72" s="587"/>
      <c r="F72" s="587">
        <f t="shared" si="30"/>
        <v>0</v>
      </c>
      <c r="G72" s="587">
        <f t="shared" si="31"/>
        <v>48163</v>
      </c>
      <c r="H72" s="587"/>
      <c r="I72" s="587"/>
      <c r="J72" s="587"/>
      <c r="K72" s="587">
        <f t="shared" si="2"/>
        <v>0</v>
      </c>
      <c r="L72" s="587">
        <f t="shared" si="3"/>
        <v>48</v>
      </c>
      <c r="M72" s="587">
        <f t="shared" si="32"/>
        <v>48</v>
      </c>
      <c r="N72" s="588"/>
    </row>
    <row r="73" spans="1:14" x14ac:dyDescent="0.2">
      <c r="A73" s="565" t="s">
        <v>589</v>
      </c>
      <c r="B73" s="566" t="s">
        <v>237</v>
      </c>
      <c r="C73" s="567">
        <v>0</v>
      </c>
      <c r="D73" s="567">
        <v>43614.05</v>
      </c>
      <c r="E73" s="436"/>
      <c r="F73" s="435">
        <f t="shared" si="30"/>
        <v>0</v>
      </c>
      <c r="G73" s="435">
        <f t="shared" si="31"/>
        <v>43614</v>
      </c>
      <c r="H73" s="436"/>
      <c r="I73" s="435"/>
      <c r="J73" s="435"/>
      <c r="K73" s="435">
        <f t="shared" si="2"/>
        <v>0</v>
      </c>
      <c r="L73" s="435">
        <f t="shared" si="3"/>
        <v>44</v>
      </c>
      <c r="M73" s="435">
        <f t="shared" si="32"/>
        <v>44</v>
      </c>
      <c r="N73" s="437"/>
    </row>
    <row r="74" spans="1:14" x14ac:dyDescent="0.2">
      <c r="A74" s="565" t="s">
        <v>590</v>
      </c>
      <c r="B74" s="566" t="s">
        <v>238</v>
      </c>
      <c r="C74" s="567">
        <v>0</v>
      </c>
      <c r="D74" s="567">
        <v>2494979</v>
      </c>
      <c r="E74" s="436"/>
      <c r="F74" s="435">
        <f t="shared" si="30"/>
        <v>0</v>
      </c>
      <c r="G74" s="435">
        <f t="shared" si="31"/>
        <v>2494979</v>
      </c>
      <c r="H74" s="436"/>
      <c r="I74" s="435"/>
      <c r="J74" s="435"/>
      <c r="K74" s="435">
        <f t="shared" si="2"/>
        <v>0</v>
      </c>
      <c r="L74" s="435">
        <f t="shared" ref="L74" si="33">ROUND(D74/1000,0)</f>
        <v>2495</v>
      </c>
      <c r="M74" s="435">
        <f t="shared" ref="M74" si="34">L74-K74</f>
        <v>2495</v>
      </c>
      <c r="N74" s="437"/>
    </row>
    <row r="75" spans="1:14" x14ac:dyDescent="0.2">
      <c r="A75" s="565" t="s">
        <v>591</v>
      </c>
      <c r="B75" s="566" t="s">
        <v>592</v>
      </c>
      <c r="C75" s="567">
        <v>1.01</v>
      </c>
      <c r="D75" s="567">
        <v>0</v>
      </c>
      <c r="E75" s="436"/>
      <c r="F75" s="435">
        <f t="shared" ref="F75:F77" si="35">ROUND(C75,0)</f>
        <v>1</v>
      </c>
      <c r="G75" s="435">
        <f t="shared" ref="G75:G77" si="36">ROUND(D75,0)</f>
        <v>0</v>
      </c>
      <c r="H75" s="436"/>
      <c r="I75" s="435"/>
      <c r="J75" s="435"/>
      <c r="K75" s="435">
        <f t="shared" ref="K75:K77" si="37">ROUND(C75/1000,0)</f>
        <v>0</v>
      </c>
      <c r="L75" s="435">
        <f t="shared" ref="L75:L77" si="38">ROUND(D75/1000,0)</f>
        <v>0</v>
      </c>
      <c r="M75" s="435">
        <f t="shared" ref="M75:M77" si="39">L75-K75</f>
        <v>0</v>
      </c>
      <c r="N75" s="437"/>
    </row>
    <row r="76" spans="1:14" x14ac:dyDescent="0.2">
      <c r="A76" s="565" t="s">
        <v>593</v>
      </c>
      <c r="B76" s="566" t="s">
        <v>239</v>
      </c>
      <c r="C76" s="567">
        <v>43.65</v>
      </c>
      <c r="D76" s="567">
        <v>0</v>
      </c>
      <c r="E76" s="436"/>
      <c r="F76" s="435">
        <f t="shared" si="35"/>
        <v>44</v>
      </c>
      <c r="G76" s="435">
        <f t="shared" si="36"/>
        <v>0</v>
      </c>
      <c r="H76" s="436"/>
      <c r="I76" s="435"/>
      <c r="J76" s="435"/>
      <c r="K76" s="435">
        <f t="shared" si="37"/>
        <v>0</v>
      </c>
      <c r="L76" s="435">
        <f t="shared" si="38"/>
        <v>0</v>
      </c>
      <c r="M76" s="435">
        <f t="shared" si="39"/>
        <v>0</v>
      </c>
      <c r="N76" s="437"/>
    </row>
    <row r="77" spans="1:14" x14ac:dyDescent="0.2">
      <c r="A77" s="565" t="s">
        <v>594</v>
      </c>
      <c r="B77" s="566" t="s">
        <v>595</v>
      </c>
      <c r="C77" s="567">
        <v>0</v>
      </c>
      <c r="D77" s="567">
        <v>0.08</v>
      </c>
      <c r="E77" s="436"/>
      <c r="F77" s="435">
        <f t="shared" si="35"/>
        <v>0</v>
      </c>
      <c r="G77" s="435">
        <f t="shared" si="36"/>
        <v>0</v>
      </c>
      <c r="H77" s="436"/>
      <c r="I77" s="435"/>
      <c r="J77" s="435"/>
      <c r="K77" s="435">
        <f t="shared" si="37"/>
        <v>0</v>
      </c>
      <c r="L77" s="435">
        <f t="shared" si="38"/>
        <v>0</v>
      </c>
      <c r="M77" s="435">
        <f t="shared" si="39"/>
        <v>0</v>
      </c>
      <c r="N77" s="437"/>
    </row>
    <row r="78" spans="1:14" x14ac:dyDescent="0.2">
      <c r="A78" s="581"/>
      <c r="B78" s="568"/>
      <c r="C78" s="569"/>
      <c r="D78" s="569">
        <v>0</v>
      </c>
      <c r="M78" s="414">
        <f>SUM(M59:M77)</f>
        <v>3145257.78</v>
      </c>
    </row>
    <row r="79" spans="1:14" ht="12.75" thickBot="1" x14ac:dyDescent="0.25">
      <c r="A79" s="582" t="s">
        <v>181</v>
      </c>
      <c r="B79" s="568"/>
      <c r="C79" s="569"/>
      <c r="D79" s="569">
        <v>0</v>
      </c>
    </row>
    <row r="80" spans="1:14" x14ac:dyDescent="0.2">
      <c r="A80" s="573" t="s">
        <v>596</v>
      </c>
      <c r="B80" s="574" t="s">
        <v>240</v>
      </c>
      <c r="C80" s="575">
        <v>0</v>
      </c>
      <c r="D80" s="575">
        <v>7944189.6600000001</v>
      </c>
      <c r="E80" s="431"/>
      <c r="F80" s="430">
        <f t="shared" ref="F80:F81" si="40">ROUND(C80,0)</f>
        <v>0</v>
      </c>
      <c r="G80" s="430">
        <f t="shared" ref="G80:G81" si="41">ROUND(D80,0)</f>
        <v>7944190</v>
      </c>
      <c r="H80" s="431"/>
      <c r="I80" s="430">
        <f>J96</f>
        <v>0</v>
      </c>
      <c r="J80" s="430"/>
      <c r="K80" s="430">
        <f t="shared" si="2"/>
        <v>0</v>
      </c>
      <c r="L80" s="430">
        <f t="shared" si="3"/>
        <v>7944</v>
      </c>
      <c r="M80" s="430">
        <f>-I80+K80-L80+J80</f>
        <v>-7944</v>
      </c>
      <c r="N80" s="432"/>
    </row>
    <row r="81" spans="1:15" x14ac:dyDescent="0.2">
      <c r="A81" s="565" t="s">
        <v>597</v>
      </c>
      <c r="B81" s="566" t="s">
        <v>241</v>
      </c>
      <c r="C81" s="567">
        <v>0</v>
      </c>
      <c r="D81" s="567">
        <v>1885</v>
      </c>
      <c r="E81" s="436"/>
      <c r="F81" s="435">
        <f t="shared" si="40"/>
        <v>0</v>
      </c>
      <c r="G81" s="435">
        <f t="shared" si="41"/>
        <v>1885</v>
      </c>
      <c r="H81" s="436"/>
      <c r="I81" s="435"/>
      <c r="J81" s="435"/>
      <c r="K81" s="435">
        <f t="shared" si="2"/>
        <v>0</v>
      </c>
      <c r="L81" s="435">
        <f t="shared" si="3"/>
        <v>2</v>
      </c>
      <c r="M81" s="435">
        <f t="shared" ref="M81:M95" si="42">I81+K81-L81+J81</f>
        <v>-2</v>
      </c>
      <c r="N81" s="437"/>
    </row>
    <row r="82" spans="1:15" x14ac:dyDescent="0.2">
      <c r="A82" s="565"/>
      <c r="B82" s="566"/>
      <c r="C82" s="567"/>
      <c r="D82" s="567"/>
      <c r="E82" s="436"/>
      <c r="F82" s="435"/>
      <c r="G82" s="435"/>
      <c r="H82" s="436"/>
      <c r="I82" s="435"/>
      <c r="J82" s="435"/>
      <c r="K82" s="435"/>
      <c r="L82" s="435"/>
      <c r="M82" s="435">
        <f t="shared" si="42"/>
        <v>0</v>
      </c>
      <c r="N82" s="437"/>
    </row>
    <row r="83" spans="1:15" x14ac:dyDescent="0.2">
      <c r="A83" s="565" t="s">
        <v>598</v>
      </c>
      <c r="B83" s="566" t="s">
        <v>242</v>
      </c>
      <c r="C83" s="567">
        <v>0</v>
      </c>
      <c r="D83" s="567">
        <v>92723768.200000003</v>
      </c>
      <c r="E83" s="436"/>
      <c r="F83" s="435">
        <f t="shared" ref="F83:F93" si="43">ROUND(C83,0)</f>
        <v>0</v>
      </c>
      <c r="G83" s="435">
        <f t="shared" ref="G83:G93" si="44">ROUND(D83,0)</f>
        <v>92723768</v>
      </c>
      <c r="H83" s="436"/>
      <c r="I83" s="435"/>
      <c r="J83" s="435"/>
      <c r="K83" s="435">
        <f t="shared" si="2"/>
        <v>0</v>
      </c>
      <c r="L83" s="435">
        <f t="shared" si="3"/>
        <v>92724</v>
      </c>
      <c r="M83" s="435">
        <f t="shared" si="42"/>
        <v>-92724</v>
      </c>
      <c r="N83" s="437"/>
    </row>
    <row r="84" spans="1:15" x14ac:dyDescent="0.2">
      <c r="A84" s="565" t="s">
        <v>599</v>
      </c>
      <c r="B84" s="566" t="s">
        <v>243</v>
      </c>
      <c r="C84" s="567">
        <v>0</v>
      </c>
      <c r="D84" s="567">
        <v>40169807.780000001</v>
      </c>
      <c r="E84" s="436"/>
      <c r="F84" s="435">
        <f t="shared" si="43"/>
        <v>0</v>
      </c>
      <c r="G84" s="435">
        <f t="shared" si="44"/>
        <v>40169808</v>
      </c>
      <c r="H84" s="436"/>
      <c r="I84" s="435"/>
      <c r="J84" s="435"/>
      <c r="K84" s="435">
        <f t="shared" si="2"/>
        <v>0</v>
      </c>
      <c r="L84" s="435">
        <f t="shared" ref="L84:L93" si="45">ROUND(D84/1000,0)</f>
        <v>40170</v>
      </c>
      <c r="M84" s="435">
        <f t="shared" ref="M84:M93" si="46">I84+K84-L84+J84</f>
        <v>-40170</v>
      </c>
      <c r="N84" s="437"/>
    </row>
    <row r="85" spans="1:15" x14ac:dyDescent="0.2">
      <c r="A85" s="565" t="s">
        <v>600</v>
      </c>
      <c r="B85" s="566" t="s">
        <v>244</v>
      </c>
      <c r="C85" s="567">
        <v>0</v>
      </c>
      <c r="D85" s="567">
        <v>223769.25</v>
      </c>
      <c r="E85" s="436"/>
      <c r="F85" s="435">
        <f t="shared" si="43"/>
        <v>0</v>
      </c>
      <c r="G85" s="435">
        <f t="shared" si="44"/>
        <v>223769</v>
      </c>
      <c r="H85" s="436"/>
      <c r="I85" s="435"/>
      <c r="J85" s="435"/>
      <c r="K85" s="435">
        <f t="shared" si="2"/>
        <v>0</v>
      </c>
      <c r="L85" s="435">
        <f t="shared" si="45"/>
        <v>224</v>
      </c>
      <c r="M85" s="435">
        <f t="shared" si="46"/>
        <v>-224</v>
      </c>
      <c r="N85" s="437"/>
    </row>
    <row r="86" spans="1:15" x14ac:dyDescent="0.2">
      <c r="A86" s="565" t="s">
        <v>601</v>
      </c>
      <c r="B86" s="566" t="s">
        <v>245</v>
      </c>
      <c r="C86" s="567">
        <v>0</v>
      </c>
      <c r="D86" s="567">
        <v>77895.45</v>
      </c>
      <c r="E86" s="436"/>
      <c r="F86" s="435">
        <f t="shared" si="43"/>
        <v>0</v>
      </c>
      <c r="G86" s="435">
        <f t="shared" si="44"/>
        <v>77895</v>
      </c>
      <c r="H86" s="436"/>
      <c r="I86" s="435"/>
      <c r="J86" s="435"/>
      <c r="K86" s="435">
        <f t="shared" si="2"/>
        <v>0</v>
      </c>
      <c r="L86" s="435">
        <f t="shared" si="45"/>
        <v>78</v>
      </c>
      <c r="M86" s="435">
        <f t="shared" si="46"/>
        <v>-78</v>
      </c>
      <c r="N86" s="437"/>
    </row>
    <row r="87" spans="1:15" x14ac:dyDescent="0.2">
      <c r="A87" s="565" t="s">
        <v>602</v>
      </c>
      <c r="B87" s="566" t="s">
        <v>246</v>
      </c>
      <c r="C87" s="567">
        <v>0</v>
      </c>
      <c r="D87" s="567">
        <v>176150</v>
      </c>
      <c r="E87" s="436"/>
      <c r="F87" s="435">
        <f t="shared" si="43"/>
        <v>0</v>
      </c>
      <c r="G87" s="435">
        <f t="shared" si="44"/>
        <v>176150</v>
      </c>
      <c r="H87" s="436"/>
      <c r="I87" s="435"/>
      <c r="J87" s="435"/>
      <c r="K87" s="435">
        <f t="shared" si="2"/>
        <v>0</v>
      </c>
      <c r="L87" s="435">
        <f t="shared" si="45"/>
        <v>176</v>
      </c>
      <c r="M87" s="435">
        <f t="shared" si="46"/>
        <v>-176</v>
      </c>
      <c r="N87" s="437"/>
    </row>
    <row r="88" spans="1:15" x14ac:dyDescent="0.2">
      <c r="A88" s="565" t="s">
        <v>603</v>
      </c>
      <c r="B88" s="566" t="s">
        <v>247</v>
      </c>
      <c r="C88" s="567">
        <v>0</v>
      </c>
      <c r="D88" s="567">
        <v>72216.800000000003</v>
      </c>
      <c r="E88" s="436"/>
      <c r="F88" s="435">
        <f t="shared" si="43"/>
        <v>0</v>
      </c>
      <c r="G88" s="435">
        <f t="shared" si="44"/>
        <v>72217</v>
      </c>
      <c r="H88" s="436"/>
      <c r="I88" s="435"/>
      <c r="J88" s="435"/>
      <c r="K88" s="435">
        <f t="shared" si="2"/>
        <v>0</v>
      </c>
      <c r="L88" s="435">
        <f t="shared" si="45"/>
        <v>72</v>
      </c>
      <c r="M88" s="435">
        <f t="shared" si="46"/>
        <v>-72</v>
      </c>
      <c r="N88" s="437"/>
    </row>
    <row r="89" spans="1:15" x14ac:dyDescent="0.2">
      <c r="A89" s="565" t="s">
        <v>604</v>
      </c>
      <c r="B89" s="566" t="s">
        <v>605</v>
      </c>
      <c r="C89" s="567">
        <v>0</v>
      </c>
      <c r="D89" s="567">
        <v>287</v>
      </c>
      <c r="E89" s="436"/>
      <c r="F89" s="435">
        <f t="shared" si="43"/>
        <v>0</v>
      </c>
      <c r="G89" s="435">
        <f t="shared" si="44"/>
        <v>287</v>
      </c>
      <c r="H89" s="436"/>
      <c r="I89" s="435"/>
      <c r="J89" s="435"/>
      <c r="K89" s="435">
        <f t="shared" si="2"/>
        <v>0</v>
      </c>
      <c r="L89" s="435">
        <f t="shared" si="45"/>
        <v>0</v>
      </c>
      <c r="M89" s="435">
        <f t="shared" si="46"/>
        <v>0</v>
      </c>
      <c r="N89" s="437"/>
    </row>
    <row r="90" spans="1:15" ht="12.75" thickBot="1" x14ac:dyDescent="0.25">
      <c r="A90" s="565" t="s">
        <v>606</v>
      </c>
      <c r="B90" s="566" t="s">
        <v>461</v>
      </c>
      <c r="C90" s="567">
        <v>0</v>
      </c>
      <c r="D90" s="567">
        <v>624</v>
      </c>
      <c r="E90" s="436"/>
      <c r="F90" s="435">
        <f t="shared" si="43"/>
        <v>0</v>
      </c>
      <c r="G90" s="435">
        <f t="shared" si="44"/>
        <v>624</v>
      </c>
      <c r="H90" s="436"/>
      <c r="I90" s="435"/>
      <c r="J90" s="435"/>
      <c r="K90" s="435">
        <f t="shared" si="2"/>
        <v>0</v>
      </c>
      <c r="L90" s="435">
        <f t="shared" si="45"/>
        <v>1</v>
      </c>
      <c r="M90" s="435">
        <f t="shared" si="46"/>
        <v>-1</v>
      </c>
      <c r="N90" s="437"/>
      <c r="O90" s="452">
        <f>-SUM(L83:L93)</f>
        <v>-343357</v>
      </c>
    </row>
    <row r="91" spans="1:15" ht="12.75" thickTop="1" x14ac:dyDescent="0.2">
      <c r="A91" s="565" t="s">
        <v>607</v>
      </c>
      <c r="B91" s="566" t="s">
        <v>608</v>
      </c>
      <c r="C91" s="567">
        <v>0</v>
      </c>
      <c r="D91" s="567">
        <v>133469621.56999999</v>
      </c>
      <c r="E91" s="436"/>
      <c r="F91" s="435">
        <f t="shared" si="43"/>
        <v>0</v>
      </c>
      <c r="G91" s="435">
        <f t="shared" si="44"/>
        <v>133469622</v>
      </c>
      <c r="H91" s="436"/>
      <c r="I91" s="435"/>
      <c r="J91" s="435"/>
      <c r="K91" s="435">
        <f t="shared" si="2"/>
        <v>0</v>
      </c>
      <c r="L91" s="435">
        <f t="shared" si="45"/>
        <v>133470</v>
      </c>
      <c r="M91" s="435">
        <f t="shared" si="46"/>
        <v>-133470</v>
      </c>
      <c r="N91" s="437"/>
      <c r="O91" s="536"/>
    </row>
    <row r="92" spans="1:15" x14ac:dyDescent="0.2">
      <c r="A92" s="565" t="s">
        <v>609</v>
      </c>
      <c r="B92" s="566" t="s">
        <v>248</v>
      </c>
      <c r="C92" s="567">
        <v>0</v>
      </c>
      <c r="D92" s="567">
        <v>71098872.400000006</v>
      </c>
      <c r="E92" s="436"/>
      <c r="F92" s="435">
        <f t="shared" si="43"/>
        <v>0</v>
      </c>
      <c r="G92" s="435">
        <f t="shared" si="44"/>
        <v>71098872</v>
      </c>
      <c r="H92" s="436"/>
      <c r="I92" s="435"/>
      <c r="J92" s="435"/>
      <c r="K92" s="435">
        <f t="shared" si="2"/>
        <v>0</v>
      </c>
      <c r="L92" s="435">
        <f t="shared" si="45"/>
        <v>71099</v>
      </c>
      <c r="M92" s="435">
        <f t="shared" si="46"/>
        <v>-71099</v>
      </c>
      <c r="N92" s="437"/>
      <c r="O92" s="536"/>
    </row>
    <row r="93" spans="1:15" x14ac:dyDescent="0.2">
      <c r="A93" s="565" t="s">
        <v>610</v>
      </c>
      <c r="B93" s="566" t="s">
        <v>490</v>
      </c>
      <c r="C93" s="567">
        <v>0</v>
      </c>
      <c r="D93" s="567">
        <v>5342758.17</v>
      </c>
      <c r="E93" s="436"/>
      <c r="F93" s="435">
        <f t="shared" si="43"/>
        <v>0</v>
      </c>
      <c r="G93" s="435">
        <f t="shared" si="44"/>
        <v>5342758</v>
      </c>
      <c r="H93" s="436"/>
      <c r="I93" s="435"/>
      <c r="J93" s="435"/>
      <c r="K93" s="435">
        <f t="shared" si="2"/>
        <v>0</v>
      </c>
      <c r="L93" s="435">
        <f t="shared" si="45"/>
        <v>5343</v>
      </c>
      <c r="M93" s="435">
        <f t="shared" si="46"/>
        <v>-5343</v>
      </c>
      <c r="N93" s="437"/>
      <c r="O93" s="536"/>
    </row>
    <row r="94" spans="1:15" x14ac:dyDescent="0.2">
      <c r="A94" s="565" t="s">
        <v>611</v>
      </c>
      <c r="B94" s="566" t="s">
        <v>612</v>
      </c>
      <c r="C94" s="567">
        <v>0</v>
      </c>
      <c r="D94" s="567">
        <v>9912056</v>
      </c>
      <c r="E94" s="436"/>
      <c r="F94" s="435">
        <f t="shared" ref="F94" si="47">ROUND(C94,0)</f>
        <v>0</v>
      </c>
      <c r="G94" s="435">
        <f t="shared" ref="G94" si="48">ROUND(D94,0)</f>
        <v>9912056</v>
      </c>
      <c r="H94" s="436"/>
      <c r="I94" s="435"/>
      <c r="J94" s="435"/>
      <c r="K94" s="435">
        <f t="shared" si="2"/>
        <v>0</v>
      </c>
      <c r="L94" s="435">
        <f t="shared" ref="L94" si="49">ROUND(D94/1000,0)</f>
        <v>9912</v>
      </c>
      <c r="M94" s="435">
        <f t="shared" ref="M94" si="50">I94+K94-L94+J94</f>
        <v>-9912</v>
      </c>
      <c r="N94" s="437"/>
      <c r="O94" s="536"/>
    </row>
    <row r="95" spans="1:15" x14ac:dyDescent="0.2">
      <c r="A95" s="565"/>
      <c r="B95" s="566"/>
      <c r="C95" s="567"/>
      <c r="D95" s="567"/>
      <c r="E95" s="436"/>
      <c r="F95" s="435"/>
      <c r="G95" s="435"/>
      <c r="H95" s="436"/>
      <c r="I95" s="435"/>
      <c r="J95" s="435"/>
      <c r="K95" s="435"/>
      <c r="L95" s="435"/>
      <c r="M95" s="435">
        <f t="shared" si="42"/>
        <v>0</v>
      </c>
      <c r="N95" s="437"/>
    </row>
    <row r="96" spans="1:15" x14ac:dyDescent="0.2">
      <c r="A96" s="565" t="s">
        <v>613</v>
      </c>
      <c r="B96" s="566" t="s">
        <v>249</v>
      </c>
      <c r="C96" s="567">
        <v>0</v>
      </c>
      <c r="D96" s="567">
        <v>147639225.38999999</v>
      </c>
      <c r="E96" s="436"/>
      <c r="F96" s="435">
        <f>ROUND(C96,0)</f>
        <v>0</v>
      </c>
      <c r="G96" s="435">
        <f>ROUND(D96,0)</f>
        <v>147639225</v>
      </c>
      <c r="H96" s="436"/>
      <c r="I96" s="435"/>
      <c r="J96" s="435">
        <v>0</v>
      </c>
      <c r="K96" s="435">
        <f t="shared" si="2"/>
        <v>0</v>
      </c>
      <c r="L96" s="435">
        <f t="shared" si="3"/>
        <v>147639</v>
      </c>
      <c r="M96" s="435">
        <f>(I96+K96)-(L96+J96)</f>
        <v>-147639</v>
      </c>
      <c r="N96" s="437"/>
    </row>
    <row r="97" spans="1:14" x14ac:dyDescent="0.2">
      <c r="A97" s="565"/>
      <c r="B97" s="566"/>
      <c r="C97" s="567"/>
      <c r="D97" s="567"/>
      <c r="E97" s="436"/>
      <c r="F97" s="435"/>
      <c r="G97" s="435"/>
      <c r="H97" s="436"/>
      <c r="I97" s="435"/>
      <c r="J97" s="435"/>
      <c r="K97" s="435"/>
      <c r="L97" s="435"/>
      <c r="M97" s="435">
        <f t="shared" ref="M97:M99" si="51">L97-K97</f>
        <v>0</v>
      </c>
      <c r="N97" s="437"/>
    </row>
    <row r="98" spans="1:14" x14ac:dyDescent="0.2">
      <c r="A98" s="565" t="s">
        <v>614</v>
      </c>
      <c r="B98" s="566" t="s">
        <v>250</v>
      </c>
      <c r="C98" s="567">
        <v>0</v>
      </c>
      <c r="D98" s="567">
        <v>36573935.32</v>
      </c>
      <c r="E98" s="436"/>
      <c r="F98" s="435">
        <f t="shared" ref="F98:F99" si="52">ROUND(C98,0)</f>
        <v>0</v>
      </c>
      <c r="G98" s="435">
        <f t="shared" ref="G98:G99" si="53">ROUND(D98,0)</f>
        <v>36573935</v>
      </c>
      <c r="H98" s="436"/>
      <c r="I98" s="435"/>
      <c r="J98" s="435"/>
      <c r="K98" s="435">
        <f t="shared" si="2"/>
        <v>0</v>
      </c>
      <c r="L98" s="435">
        <f t="shared" si="3"/>
        <v>36574</v>
      </c>
      <c r="M98" s="435">
        <f t="shared" si="51"/>
        <v>36574</v>
      </c>
      <c r="N98" s="437"/>
    </row>
    <row r="99" spans="1:14" x14ac:dyDescent="0.2">
      <c r="A99" s="565" t="s">
        <v>615</v>
      </c>
      <c r="B99" s="566" t="s">
        <v>251</v>
      </c>
      <c r="C99" s="567">
        <v>0</v>
      </c>
      <c r="D99" s="567">
        <v>112960060.48</v>
      </c>
      <c r="E99" s="436"/>
      <c r="F99" s="435">
        <f t="shared" si="52"/>
        <v>0</v>
      </c>
      <c r="G99" s="435">
        <f t="shared" si="53"/>
        <v>112960060</v>
      </c>
      <c r="H99" s="436"/>
      <c r="I99" s="435"/>
      <c r="J99" s="435"/>
      <c r="K99" s="435">
        <f t="shared" si="2"/>
        <v>0</v>
      </c>
      <c r="L99" s="435">
        <f t="shared" si="3"/>
        <v>112960</v>
      </c>
      <c r="M99" s="435">
        <f t="shared" si="51"/>
        <v>112960</v>
      </c>
      <c r="N99" s="437"/>
    </row>
    <row r="100" spans="1:14" ht="12.75" thickBot="1" x14ac:dyDescent="0.25">
      <c r="A100" s="576"/>
      <c r="B100" s="577"/>
      <c r="C100" s="578"/>
      <c r="D100" s="578"/>
      <c r="E100" s="440"/>
      <c r="F100" s="439"/>
      <c r="G100" s="439"/>
      <c r="H100" s="440"/>
      <c r="I100" s="439"/>
      <c r="J100" s="439"/>
      <c r="K100" s="439"/>
      <c r="L100" s="439"/>
      <c r="M100" s="439"/>
      <c r="N100" s="441"/>
    </row>
    <row r="101" spans="1:14" x14ac:dyDescent="0.2">
      <c r="A101" s="581"/>
      <c r="B101" s="568"/>
      <c r="C101" s="569"/>
      <c r="D101" s="569"/>
      <c r="M101" s="414">
        <f>SUM(M80:M100)</f>
        <v>-359320</v>
      </c>
    </row>
    <row r="102" spans="1:14" x14ac:dyDescent="0.2">
      <c r="A102" s="582" t="s">
        <v>302</v>
      </c>
      <c r="B102" s="568"/>
      <c r="C102" s="569"/>
      <c r="D102" s="569"/>
    </row>
    <row r="103" spans="1:14" ht="12.75" thickBot="1" x14ac:dyDescent="0.25">
      <c r="A103" s="427"/>
    </row>
    <row r="104" spans="1:14" x14ac:dyDescent="0.2">
      <c r="A104" s="428" t="s">
        <v>616</v>
      </c>
      <c r="B104" s="429" t="s">
        <v>252</v>
      </c>
      <c r="C104" s="430">
        <v>8583003.2300000004</v>
      </c>
      <c r="D104" s="430">
        <v>0</v>
      </c>
      <c r="E104" s="431"/>
      <c r="F104" s="430">
        <f t="shared" ref="F104:F120" si="54">ROUND(C104,0)</f>
        <v>8583003</v>
      </c>
      <c r="G104" s="430">
        <f t="shared" ref="G104:G120" si="55">ROUND(D104,0)</f>
        <v>0</v>
      </c>
      <c r="H104" s="431"/>
      <c r="I104" s="430"/>
      <c r="J104" s="430"/>
      <c r="K104" s="430">
        <f t="shared" si="2"/>
        <v>8583</v>
      </c>
      <c r="L104" s="430">
        <f t="shared" si="3"/>
        <v>0</v>
      </c>
      <c r="M104" s="540">
        <f>K104-L104</f>
        <v>8583</v>
      </c>
      <c r="N104" s="432"/>
    </row>
    <row r="105" spans="1:14" x14ac:dyDescent="0.2">
      <c r="A105" s="433" t="s">
        <v>617</v>
      </c>
      <c r="B105" s="434" t="s">
        <v>253</v>
      </c>
      <c r="C105" s="435">
        <v>1115790.5900000001</v>
      </c>
      <c r="D105" s="435">
        <v>0</v>
      </c>
      <c r="E105" s="436"/>
      <c r="F105" s="435">
        <f t="shared" si="54"/>
        <v>1115791</v>
      </c>
      <c r="G105" s="435">
        <f t="shared" si="55"/>
        <v>0</v>
      </c>
      <c r="H105" s="436"/>
      <c r="I105" s="435"/>
      <c r="J105" s="435"/>
      <c r="K105" s="435">
        <f t="shared" si="2"/>
        <v>1116</v>
      </c>
      <c r="L105" s="435">
        <f t="shared" si="3"/>
        <v>0</v>
      </c>
      <c r="M105" s="539">
        <f t="shared" ref="M105:M120" si="56">K105-L105</f>
        <v>1116</v>
      </c>
      <c r="N105" s="437"/>
    </row>
    <row r="106" spans="1:14" x14ac:dyDescent="0.2">
      <c r="A106" s="433" t="s">
        <v>618</v>
      </c>
      <c r="B106" s="434" t="s">
        <v>619</v>
      </c>
      <c r="C106" s="435">
        <v>0.9</v>
      </c>
      <c r="D106" s="435">
        <v>0</v>
      </c>
      <c r="E106" s="436"/>
      <c r="F106" s="435">
        <f t="shared" si="54"/>
        <v>1</v>
      </c>
      <c r="G106" s="435">
        <f t="shared" si="55"/>
        <v>0</v>
      </c>
      <c r="H106" s="436"/>
      <c r="I106" s="435"/>
      <c r="J106" s="435"/>
      <c r="K106" s="435">
        <f>ROUND(C106/1000,0)</f>
        <v>0</v>
      </c>
      <c r="L106" s="435">
        <f t="shared" si="3"/>
        <v>0</v>
      </c>
      <c r="M106" s="539">
        <f t="shared" si="56"/>
        <v>0</v>
      </c>
      <c r="N106" s="437"/>
    </row>
    <row r="107" spans="1:14" x14ac:dyDescent="0.2">
      <c r="A107" s="433" t="s">
        <v>620</v>
      </c>
      <c r="B107" s="434" t="s">
        <v>254</v>
      </c>
      <c r="C107" s="435">
        <v>2239769.39</v>
      </c>
      <c r="D107" s="435">
        <v>0</v>
      </c>
      <c r="E107" s="436"/>
      <c r="F107" s="435">
        <f t="shared" si="54"/>
        <v>2239769</v>
      </c>
      <c r="G107" s="435">
        <f t="shared" si="55"/>
        <v>0</v>
      </c>
      <c r="H107" s="436"/>
      <c r="I107" s="435"/>
      <c r="J107" s="435"/>
      <c r="K107" s="435">
        <f t="shared" ref="K107:K120" si="57">ROUND(C107/1000,0)</f>
        <v>2240</v>
      </c>
      <c r="L107" s="435">
        <f t="shared" ref="L107:L120" si="58">ROUND(D107/1000,0)</f>
        <v>0</v>
      </c>
      <c r="M107" s="539">
        <f t="shared" si="56"/>
        <v>2240</v>
      </c>
      <c r="N107" s="437"/>
    </row>
    <row r="108" spans="1:14" x14ac:dyDescent="0.2">
      <c r="A108" s="433" t="s">
        <v>621</v>
      </c>
      <c r="B108" s="434" t="s">
        <v>255</v>
      </c>
      <c r="C108" s="435">
        <v>291320.40000000002</v>
      </c>
      <c r="D108" s="435">
        <v>0</v>
      </c>
      <c r="E108" s="436"/>
      <c r="F108" s="435">
        <f t="shared" si="54"/>
        <v>291320</v>
      </c>
      <c r="G108" s="435">
        <f t="shared" si="55"/>
        <v>0</v>
      </c>
      <c r="H108" s="436"/>
      <c r="I108" s="435"/>
      <c r="J108" s="435"/>
      <c r="K108" s="435">
        <f t="shared" si="57"/>
        <v>291</v>
      </c>
      <c r="L108" s="435">
        <f t="shared" si="58"/>
        <v>0</v>
      </c>
      <c r="M108" s="539">
        <f t="shared" si="56"/>
        <v>291</v>
      </c>
      <c r="N108" s="437"/>
    </row>
    <row r="109" spans="1:14" x14ac:dyDescent="0.2">
      <c r="A109" s="433" t="s">
        <v>622</v>
      </c>
      <c r="B109" s="434" t="s">
        <v>256</v>
      </c>
      <c r="C109" s="435">
        <v>1044274</v>
      </c>
      <c r="D109" s="435">
        <v>0</v>
      </c>
      <c r="E109" s="436"/>
      <c r="F109" s="435">
        <f t="shared" si="54"/>
        <v>1044274</v>
      </c>
      <c r="G109" s="435">
        <f t="shared" si="55"/>
        <v>0</v>
      </c>
      <c r="H109" s="436"/>
      <c r="I109" s="435"/>
      <c r="J109" s="435"/>
      <c r="K109" s="435">
        <f t="shared" si="57"/>
        <v>1044</v>
      </c>
      <c r="L109" s="435">
        <f t="shared" si="58"/>
        <v>0</v>
      </c>
      <c r="M109" s="539">
        <f t="shared" si="56"/>
        <v>1044</v>
      </c>
      <c r="N109" s="437"/>
    </row>
    <row r="110" spans="1:14" s="650" customFormat="1" x14ac:dyDescent="0.2">
      <c r="A110" s="646" t="s">
        <v>623</v>
      </c>
      <c r="B110" s="647" t="s">
        <v>257</v>
      </c>
      <c r="C110" s="648">
        <v>21463.43</v>
      </c>
      <c r="D110" s="648">
        <v>0</v>
      </c>
      <c r="E110" s="648"/>
      <c r="F110" s="648">
        <f t="shared" si="54"/>
        <v>21463</v>
      </c>
      <c r="G110" s="648">
        <f t="shared" si="55"/>
        <v>0</v>
      </c>
      <c r="H110" s="648"/>
      <c r="I110" s="648"/>
      <c r="J110" s="648"/>
      <c r="K110" s="648">
        <f t="shared" si="57"/>
        <v>21</v>
      </c>
      <c r="L110" s="648">
        <f t="shared" si="58"/>
        <v>0</v>
      </c>
      <c r="M110" s="648">
        <f t="shared" si="56"/>
        <v>21</v>
      </c>
      <c r="N110" s="649"/>
    </row>
    <row r="111" spans="1:14" x14ac:dyDescent="0.2">
      <c r="A111" s="433" t="s">
        <v>624</v>
      </c>
      <c r="B111" s="434" t="s">
        <v>625</v>
      </c>
      <c r="C111" s="435">
        <v>0.9</v>
      </c>
      <c r="D111" s="435">
        <v>0</v>
      </c>
      <c r="E111" s="436"/>
      <c r="F111" s="435">
        <f t="shared" si="54"/>
        <v>1</v>
      </c>
      <c r="G111" s="435">
        <f t="shared" si="55"/>
        <v>0</v>
      </c>
      <c r="H111" s="436"/>
      <c r="I111" s="435"/>
      <c r="J111" s="435"/>
      <c r="K111" s="435">
        <f t="shared" si="57"/>
        <v>0</v>
      </c>
      <c r="L111" s="435">
        <f t="shared" si="58"/>
        <v>0</v>
      </c>
      <c r="M111" s="539">
        <f t="shared" si="56"/>
        <v>0</v>
      </c>
      <c r="N111" s="437"/>
    </row>
    <row r="112" spans="1:14" s="650" customFormat="1" x14ac:dyDescent="0.2">
      <c r="A112" s="646" t="s">
        <v>626</v>
      </c>
      <c r="B112" s="647" t="s">
        <v>627</v>
      </c>
      <c r="C112" s="648">
        <v>2146595.08</v>
      </c>
      <c r="D112" s="648">
        <v>0</v>
      </c>
      <c r="E112" s="648"/>
      <c r="F112" s="648">
        <f t="shared" si="54"/>
        <v>2146595</v>
      </c>
      <c r="G112" s="648">
        <f t="shared" si="55"/>
        <v>0</v>
      </c>
      <c r="H112" s="648"/>
      <c r="I112" s="648"/>
      <c r="J112" s="648"/>
      <c r="K112" s="648">
        <f t="shared" si="57"/>
        <v>2147</v>
      </c>
      <c r="L112" s="648">
        <f t="shared" si="58"/>
        <v>0</v>
      </c>
      <c r="M112" s="648">
        <f t="shared" si="56"/>
        <v>2147</v>
      </c>
      <c r="N112" s="649"/>
    </row>
    <row r="113" spans="1:15" x14ac:dyDescent="0.2">
      <c r="A113" s="433" t="s">
        <v>628</v>
      </c>
      <c r="B113" s="434" t="s">
        <v>258</v>
      </c>
      <c r="C113" s="435">
        <v>312197</v>
      </c>
      <c r="D113" s="435">
        <v>0</v>
      </c>
      <c r="E113" s="436"/>
      <c r="F113" s="435">
        <f t="shared" si="54"/>
        <v>312197</v>
      </c>
      <c r="G113" s="435">
        <f t="shared" si="55"/>
        <v>0</v>
      </c>
      <c r="H113" s="436"/>
      <c r="I113" s="435"/>
      <c r="J113" s="435"/>
      <c r="K113" s="435">
        <f t="shared" si="57"/>
        <v>312</v>
      </c>
      <c r="L113" s="435">
        <f t="shared" si="58"/>
        <v>0</v>
      </c>
      <c r="M113" s="539">
        <f t="shared" si="56"/>
        <v>312</v>
      </c>
      <c r="N113" s="437"/>
    </row>
    <row r="114" spans="1:15" x14ac:dyDescent="0.2">
      <c r="A114" s="433" t="s">
        <v>629</v>
      </c>
      <c r="B114" s="434" t="s">
        <v>259</v>
      </c>
      <c r="C114" s="435">
        <v>1.2</v>
      </c>
      <c r="D114" s="435">
        <v>0</v>
      </c>
      <c r="E114" s="436"/>
      <c r="F114" s="435">
        <f t="shared" si="54"/>
        <v>1</v>
      </c>
      <c r="G114" s="435">
        <f t="shared" si="55"/>
        <v>0</v>
      </c>
      <c r="H114" s="436"/>
      <c r="I114" s="435"/>
      <c r="J114" s="435"/>
      <c r="K114" s="435">
        <f t="shared" si="57"/>
        <v>0</v>
      </c>
      <c r="L114" s="435">
        <f t="shared" si="58"/>
        <v>0</v>
      </c>
      <c r="M114" s="539">
        <f>ROUNDDOWN(K114-L114,0)</f>
        <v>0</v>
      </c>
      <c r="N114" s="437"/>
    </row>
    <row r="115" spans="1:15" ht="12.75" thickBot="1" x14ac:dyDescent="0.25">
      <c r="A115" s="433" t="s">
        <v>630</v>
      </c>
      <c r="B115" s="434" t="s">
        <v>631</v>
      </c>
      <c r="C115" s="435">
        <v>0</v>
      </c>
      <c r="D115" s="435">
        <v>12614388.279999999</v>
      </c>
      <c r="E115" s="436"/>
      <c r="F115" s="435">
        <f t="shared" si="54"/>
        <v>0</v>
      </c>
      <c r="G115" s="435">
        <f t="shared" si="55"/>
        <v>12614388</v>
      </c>
      <c r="H115" s="436"/>
      <c r="I115" s="435"/>
      <c r="J115" s="435"/>
      <c r="K115" s="435">
        <f t="shared" si="57"/>
        <v>0</v>
      </c>
      <c r="L115" s="435">
        <f t="shared" si="58"/>
        <v>12614</v>
      </c>
      <c r="M115" s="539">
        <f>ROUNDDOWN(K115-L115,0)</f>
        <v>-12614</v>
      </c>
      <c r="N115" s="437"/>
      <c r="O115" s="452">
        <f>ROUNDDOWN(SUM(M114:M115),0)</f>
        <v>-12614</v>
      </c>
    </row>
    <row r="116" spans="1:15" ht="12.75" thickTop="1" x14ac:dyDescent="0.2">
      <c r="A116" s="433" t="s">
        <v>632</v>
      </c>
      <c r="B116" s="434" t="s">
        <v>260</v>
      </c>
      <c r="C116" s="435">
        <v>402996</v>
      </c>
      <c r="D116" s="435">
        <v>0</v>
      </c>
      <c r="E116" s="436"/>
      <c r="F116" s="435">
        <f t="shared" si="54"/>
        <v>402996</v>
      </c>
      <c r="G116" s="435">
        <f t="shared" si="55"/>
        <v>0</v>
      </c>
      <c r="H116" s="436"/>
      <c r="I116" s="435"/>
      <c r="J116" s="435"/>
      <c r="K116" s="435">
        <f t="shared" si="57"/>
        <v>403</v>
      </c>
      <c r="L116" s="435">
        <f t="shared" si="58"/>
        <v>0</v>
      </c>
      <c r="M116" s="539">
        <f>ROUNDDOWN(K116-L116,0)+1</f>
        <v>404</v>
      </c>
      <c r="N116" s="437"/>
    </row>
    <row r="117" spans="1:15" x14ac:dyDescent="0.2">
      <c r="A117" s="433" t="s">
        <v>633</v>
      </c>
      <c r="B117" s="434" t="s">
        <v>261</v>
      </c>
      <c r="C117" s="435">
        <v>136967.23000000001</v>
      </c>
      <c r="D117" s="435">
        <v>0</v>
      </c>
      <c r="E117" s="436"/>
      <c r="F117" s="435">
        <f t="shared" si="54"/>
        <v>136967</v>
      </c>
      <c r="G117" s="435">
        <f t="shared" si="55"/>
        <v>0</v>
      </c>
      <c r="H117" s="436"/>
      <c r="I117" s="435"/>
      <c r="J117" s="435"/>
      <c r="K117" s="435">
        <f t="shared" si="57"/>
        <v>137</v>
      </c>
      <c r="L117" s="435">
        <f t="shared" si="58"/>
        <v>0</v>
      </c>
      <c r="M117" s="435">
        <f t="shared" ref="M117" si="59">ROUNDDOWN(K117-L117,0)</f>
        <v>137</v>
      </c>
      <c r="N117" s="437"/>
    </row>
    <row r="118" spans="1:15" s="650" customFormat="1" x14ac:dyDescent="0.2">
      <c r="A118" s="646" t="s">
        <v>634</v>
      </c>
      <c r="B118" s="647" t="s">
        <v>262</v>
      </c>
      <c r="C118" s="648">
        <v>452308.26</v>
      </c>
      <c r="D118" s="648">
        <v>0</v>
      </c>
      <c r="E118" s="648"/>
      <c r="F118" s="648">
        <f t="shared" si="54"/>
        <v>452308</v>
      </c>
      <c r="G118" s="648">
        <f t="shared" si="55"/>
        <v>0</v>
      </c>
      <c r="H118" s="648"/>
      <c r="I118" s="648"/>
      <c r="J118" s="648"/>
      <c r="K118" s="648">
        <f t="shared" si="57"/>
        <v>452</v>
      </c>
      <c r="L118" s="648">
        <f t="shared" si="58"/>
        <v>0</v>
      </c>
      <c r="M118" s="648">
        <f>ROUNDDOWN(K118-L118,0)</f>
        <v>452</v>
      </c>
      <c r="N118" s="649"/>
    </row>
    <row r="119" spans="1:15" s="650" customFormat="1" x14ac:dyDescent="0.2">
      <c r="A119" s="646" t="s">
        <v>635</v>
      </c>
      <c r="B119" s="647" t="s">
        <v>263</v>
      </c>
      <c r="C119" s="648">
        <v>20643.16</v>
      </c>
      <c r="D119" s="648">
        <v>0</v>
      </c>
      <c r="E119" s="648"/>
      <c r="F119" s="648">
        <f t="shared" si="54"/>
        <v>20643</v>
      </c>
      <c r="G119" s="648">
        <f t="shared" si="55"/>
        <v>0</v>
      </c>
      <c r="H119" s="648"/>
      <c r="I119" s="648"/>
      <c r="J119" s="648"/>
      <c r="K119" s="648">
        <f t="shared" si="57"/>
        <v>21</v>
      </c>
      <c r="L119" s="648">
        <f t="shared" si="58"/>
        <v>0</v>
      </c>
      <c r="M119" s="648">
        <f>ROUNDDOWN(K119-L119,0)</f>
        <v>21</v>
      </c>
      <c r="N119" s="649"/>
      <c r="O119" s="651">
        <f>SUM(F117:F120,F110)</f>
        <v>684748</v>
      </c>
    </row>
    <row r="120" spans="1:15" x14ac:dyDescent="0.2">
      <c r="A120" s="433" t="s">
        <v>636</v>
      </c>
      <c r="B120" s="434" t="s">
        <v>264</v>
      </c>
      <c r="C120" s="435">
        <v>53366.57</v>
      </c>
      <c r="D120" s="435">
        <v>0</v>
      </c>
      <c r="E120" s="436"/>
      <c r="F120" s="435">
        <f t="shared" si="54"/>
        <v>53367</v>
      </c>
      <c r="G120" s="435">
        <f t="shared" si="55"/>
        <v>0</v>
      </c>
      <c r="H120" s="436"/>
      <c r="I120" s="435"/>
      <c r="J120" s="435"/>
      <c r="K120" s="435">
        <f t="shared" si="57"/>
        <v>53</v>
      </c>
      <c r="L120" s="435">
        <f t="shared" si="58"/>
        <v>0</v>
      </c>
      <c r="M120" s="435">
        <f t="shared" si="56"/>
        <v>53</v>
      </c>
      <c r="N120" s="437"/>
      <c r="O120" s="417">
        <f>SUM(M117:M120)+M110-1</f>
        <v>683</v>
      </c>
    </row>
    <row r="121" spans="1:15" s="650" customFormat="1" x14ac:dyDescent="0.2">
      <c r="A121" s="652" t="s">
        <v>637</v>
      </c>
      <c r="B121" s="647" t="s">
        <v>265</v>
      </c>
      <c r="C121" s="648">
        <v>107631</v>
      </c>
      <c r="D121" s="648">
        <v>0</v>
      </c>
      <c r="E121" s="648"/>
      <c r="F121" s="648">
        <f t="shared" ref="F121" si="60">ROUND(C121,0)</f>
        <v>107631</v>
      </c>
      <c r="G121" s="648">
        <f t="shared" ref="G121" si="61">ROUND(D121,0)</f>
        <v>0</v>
      </c>
      <c r="H121" s="648"/>
      <c r="I121" s="648"/>
      <c r="J121" s="648"/>
      <c r="K121" s="648">
        <f t="shared" ref="K121" si="62">ROUND(C121/1000,0)</f>
        <v>108</v>
      </c>
      <c r="L121" s="648">
        <f t="shared" ref="L121" si="63">ROUND(D121/1000,0)</f>
        <v>0</v>
      </c>
      <c r="M121" s="648">
        <f t="shared" ref="M121" si="64">K121-L121</f>
        <v>108</v>
      </c>
      <c r="N121" s="649"/>
    </row>
    <row r="122" spans="1:15" s="650" customFormat="1" x14ac:dyDescent="0.2">
      <c r="A122" s="652" t="s">
        <v>638</v>
      </c>
      <c r="B122" s="647" t="s">
        <v>639</v>
      </c>
      <c r="C122" s="648">
        <v>5036</v>
      </c>
      <c r="D122" s="648">
        <v>0</v>
      </c>
      <c r="E122" s="648"/>
      <c r="F122" s="648">
        <f t="shared" ref="F122:F126" si="65">ROUND(C122,0)</f>
        <v>5036</v>
      </c>
      <c r="G122" s="648">
        <f t="shared" ref="G122:G126" si="66">ROUND(D122,0)</f>
        <v>0</v>
      </c>
      <c r="H122" s="648"/>
      <c r="I122" s="648"/>
      <c r="J122" s="648"/>
      <c r="K122" s="648">
        <f t="shared" ref="K122:K126" si="67">ROUND(C122/1000,0)</f>
        <v>5</v>
      </c>
      <c r="L122" s="648">
        <f t="shared" ref="L122:L126" si="68">ROUND(D122/1000,0)</f>
        <v>0</v>
      </c>
      <c r="M122" s="648">
        <f t="shared" ref="M122:M126" si="69">K122-L122</f>
        <v>5</v>
      </c>
      <c r="N122" s="649"/>
    </row>
    <row r="123" spans="1:15" s="650" customFormat="1" x14ac:dyDescent="0.2">
      <c r="A123" s="652" t="s">
        <v>640</v>
      </c>
      <c r="B123" s="647" t="s">
        <v>641</v>
      </c>
      <c r="C123" s="648">
        <v>3955</v>
      </c>
      <c r="D123" s="648">
        <v>0</v>
      </c>
      <c r="E123" s="648"/>
      <c r="F123" s="648">
        <f t="shared" si="65"/>
        <v>3955</v>
      </c>
      <c r="G123" s="648">
        <f t="shared" si="66"/>
        <v>0</v>
      </c>
      <c r="H123" s="648"/>
      <c r="I123" s="648"/>
      <c r="J123" s="648"/>
      <c r="K123" s="648">
        <f t="shared" si="67"/>
        <v>4</v>
      </c>
      <c r="L123" s="648">
        <f t="shared" si="68"/>
        <v>0</v>
      </c>
      <c r="M123" s="648">
        <f t="shared" si="69"/>
        <v>4</v>
      </c>
      <c r="N123" s="649"/>
    </row>
    <row r="124" spans="1:15" s="650" customFormat="1" x14ac:dyDescent="0.2">
      <c r="A124" s="652" t="s">
        <v>642</v>
      </c>
      <c r="B124" s="647" t="s">
        <v>266</v>
      </c>
      <c r="C124" s="648">
        <v>175714.82</v>
      </c>
      <c r="D124" s="648">
        <v>0</v>
      </c>
      <c r="E124" s="648"/>
      <c r="F124" s="648">
        <f t="shared" si="65"/>
        <v>175715</v>
      </c>
      <c r="G124" s="648">
        <f t="shared" si="66"/>
        <v>0</v>
      </c>
      <c r="H124" s="648"/>
      <c r="I124" s="648"/>
      <c r="J124" s="648"/>
      <c r="K124" s="648">
        <f t="shared" si="67"/>
        <v>176</v>
      </c>
      <c r="L124" s="648">
        <f t="shared" si="68"/>
        <v>0</v>
      </c>
      <c r="M124" s="648">
        <f t="shared" si="69"/>
        <v>176</v>
      </c>
      <c r="N124" s="649"/>
    </row>
    <row r="125" spans="1:15" s="650" customFormat="1" x14ac:dyDescent="0.2">
      <c r="A125" s="652" t="s">
        <v>643</v>
      </c>
      <c r="B125" s="647" t="s">
        <v>267</v>
      </c>
      <c r="C125" s="648">
        <v>20170</v>
      </c>
      <c r="D125" s="648">
        <v>0</v>
      </c>
      <c r="E125" s="648"/>
      <c r="F125" s="648">
        <f t="shared" si="65"/>
        <v>20170</v>
      </c>
      <c r="G125" s="648">
        <f t="shared" si="66"/>
        <v>0</v>
      </c>
      <c r="H125" s="648"/>
      <c r="I125" s="648"/>
      <c r="J125" s="648"/>
      <c r="K125" s="648">
        <f t="shared" si="67"/>
        <v>20</v>
      </c>
      <c r="L125" s="648">
        <f t="shared" si="68"/>
        <v>0</v>
      </c>
      <c r="M125" s="648">
        <f t="shared" si="69"/>
        <v>20</v>
      </c>
      <c r="N125" s="649"/>
    </row>
    <row r="126" spans="1:15" s="650" customFormat="1" x14ac:dyDescent="0.2">
      <c r="A126" s="652" t="s">
        <v>644</v>
      </c>
      <c r="B126" s="647" t="s">
        <v>645</v>
      </c>
      <c r="C126" s="648">
        <v>1200</v>
      </c>
      <c r="D126" s="648">
        <v>0</v>
      </c>
      <c r="E126" s="648"/>
      <c r="F126" s="648">
        <f t="shared" si="65"/>
        <v>1200</v>
      </c>
      <c r="G126" s="648">
        <f t="shared" si="66"/>
        <v>0</v>
      </c>
      <c r="H126" s="648"/>
      <c r="I126" s="648"/>
      <c r="J126" s="648"/>
      <c r="K126" s="648">
        <f t="shared" si="67"/>
        <v>1</v>
      </c>
      <c r="L126" s="648">
        <f t="shared" si="68"/>
        <v>0</v>
      </c>
      <c r="M126" s="648">
        <f t="shared" si="69"/>
        <v>1</v>
      </c>
      <c r="N126" s="649"/>
    </row>
    <row r="127" spans="1:15" x14ac:dyDescent="0.2">
      <c r="A127" s="442"/>
      <c r="B127" s="434"/>
      <c r="C127" s="435"/>
      <c r="D127" s="435"/>
      <c r="E127" s="436"/>
      <c r="F127" s="435"/>
      <c r="G127" s="435"/>
      <c r="H127" s="436"/>
      <c r="I127" s="435"/>
      <c r="J127" s="435"/>
      <c r="K127" s="435"/>
      <c r="L127" s="435"/>
      <c r="M127" s="435"/>
      <c r="N127" s="437"/>
    </row>
    <row r="128" spans="1:15" ht="12.75" thickBot="1" x14ac:dyDescent="0.25">
      <c r="A128" s="443"/>
      <c r="B128" s="438"/>
      <c r="C128" s="439"/>
      <c r="D128" s="439"/>
      <c r="E128" s="440"/>
      <c r="F128" s="439"/>
      <c r="G128" s="439"/>
      <c r="H128" s="440"/>
      <c r="I128" s="439"/>
      <c r="J128" s="439"/>
      <c r="K128" s="439"/>
      <c r="L128" s="439"/>
      <c r="M128" s="439"/>
      <c r="N128" s="441"/>
    </row>
    <row r="129" spans="13:13" x14ac:dyDescent="0.2">
      <c r="M129" s="414">
        <f>SUM(M104:M128)</f>
        <v>4521</v>
      </c>
    </row>
  </sheetData>
  <autoFilter ref="A4:N129"/>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5:N40"/>
  <sheetViews>
    <sheetView showGridLines="0" topLeftCell="A25" zoomScaleNormal="100" zoomScaleSheetLayoutView="100" workbookViewId="0">
      <selection activeCell="M27" sqref="M27"/>
    </sheetView>
  </sheetViews>
  <sheetFormatPr defaultRowHeight="15.75" x14ac:dyDescent="0.25"/>
  <cols>
    <col min="1" max="1" width="5.125" customWidth="1"/>
    <col min="2" max="2" width="29" bestFit="1" customWidth="1"/>
    <col min="3" max="6" width="8.125" customWidth="1"/>
    <col min="7" max="7" width="8.375" customWidth="1"/>
    <col min="8" max="8" width="8.875" customWidth="1"/>
    <col min="9" max="9" width="8.625" style="530" customWidth="1"/>
    <col min="10" max="10" width="9.125" hidden="1" customWidth="1"/>
    <col min="13" max="13" width="9.375" customWidth="1"/>
    <col min="14" max="14" width="9.625" customWidth="1"/>
  </cols>
  <sheetData>
    <row r="5" spans="4:10" x14ac:dyDescent="0.25">
      <c r="D5" t="s">
        <v>430</v>
      </c>
    </row>
    <row r="6" spans="4:10" x14ac:dyDescent="0.25">
      <c r="D6" s="518">
        <v>1500000000</v>
      </c>
      <c r="E6" s="518">
        <v>50000</v>
      </c>
    </row>
    <row r="7" spans="4:10" x14ac:dyDescent="0.25">
      <c r="D7" s="518">
        <v>4000000000</v>
      </c>
      <c r="E7" s="518">
        <v>75000</v>
      </c>
    </row>
    <row r="8" spans="4:10" x14ac:dyDescent="0.25">
      <c r="D8" s="518">
        <v>6000000000</v>
      </c>
      <c r="E8" s="518">
        <v>150000</v>
      </c>
    </row>
    <row r="9" spans="4:10" x14ac:dyDescent="0.25">
      <c r="D9" s="518">
        <v>10000000000</v>
      </c>
      <c r="E9" s="518">
        <v>300000</v>
      </c>
    </row>
    <row r="10" spans="4:10" x14ac:dyDescent="0.25">
      <c r="D10" t="s">
        <v>431</v>
      </c>
      <c r="E10" s="518">
        <v>500000</v>
      </c>
    </row>
    <row r="12" spans="4:10" x14ac:dyDescent="0.25">
      <c r="H12" s="806" t="s">
        <v>445</v>
      </c>
      <c r="I12" s="806"/>
      <c r="J12" s="807" t="s">
        <v>432</v>
      </c>
    </row>
    <row r="13" spans="4:10" x14ac:dyDescent="0.25">
      <c r="H13" s="519" t="s">
        <v>433</v>
      </c>
      <c r="I13" s="531" t="s">
        <v>434</v>
      </c>
      <c r="J13" s="808"/>
    </row>
    <row r="14" spans="4:10" ht="36" x14ac:dyDescent="0.25">
      <c r="H14" s="520" t="s">
        <v>436</v>
      </c>
      <c r="I14" s="532" t="s">
        <v>440</v>
      </c>
      <c r="J14" s="809" t="s">
        <v>435</v>
      </c>
    </row>
    <row r="15" spans="4:10" ht="24" x14ac:dyDescent="0.25">
      <c r="H15" s="520" t="s">
        <v>437</v>
      </c>
      <c r="I15" s="532" t="s">
        <v>441</v>
      </c>
      <c r="J15" s="810"/>
    </row>
    <row r="16" spans="4:10" ht="24" x14ac:dyDescent="0.25">
      <c r="H16" s="520" t="s">
        <v>438</v>
      </c>
      <c r="I16" s="532" t="s">
        <v>442</v>
      </c>
      <c r="J16" s="811"/>
    </row>
    <row r="17" spans="8:14" ht="36" x14ac:dyDescent="0.25">
      <c r="H17" s="520" t="s">
        <v>439</v>
      </c>
      <c r="I17" s="532" t="s">
        <v>443</v>
      </c>
    </row>
    <row r="18" spans="8:14" ht="36" x14ac:dyDescent="0.25">
      <c r="H18" s="520" t="s">
        <v>446</v>
      </c>
      <c r="I18" s="532" t="s">
        <v>444</v>
      </c>
    </row>
    <row r="21" spans="8:14" x14ac:dyDescent="0.25">
      <c r="H21" s="812" t="s">
        <v>447</v>
      </c>
    </row>
    <row r="22" spans="8:14" x14ac:dyDescent="0.25">
      <c r="H22" s="812"/>
    </row>
    <row r="23" spans="8:14" x14ac:dyDescent="0.25">
      <c r="H23" t="s">
        <v>448</v>
      </c>
    </row>
    <row r="24" spans="8:14" x14ac:dyDescent="0.25">
      <c r="M24" s="813" t="s">
        <v>449</v>
      </c>
      <c r="N24" s="813"/>
    </row>
    <row r="25" spans="8:14" x14ac:dyDescent="0.25">
      <c r="H25" s="814" t="s">
        <v>447</v>
      </c>
      <c r="I25" s="533" t="s">
        <v>450</v>
      </c>
      <c r="J25" s="521" t="s">
        <v>450</v>
      </c>
      <c r="K25" s="521" t="s">
        <v>450</v>
      </c>
      <c r="L25" s="521" t="s">
        <v>450</v>
      </c>
      <c r="M25" s="521" t="s">
        <v>450</v>
      </c>
      <c r="N25" s="521" t="s">
        <v>451</v>
      </c>
    </row>
    <row r="26" spans="8:14" x14ac:dyDescent="0.25">
      <c r="H26" s="814"/>
      <c r="I26" s="534">
        <v>100000</v>
      </c>
      <c r="J26" s="522">
        <v>1500000</v>
      </c>
      <c r="K26" s="522">
        <v>4000000</v>
      </c>
      <c r="L26" s="522">
        <v>6000000</v>
      </c>
      <c r="M26" s="522">
        <v>10000000</v>
      </c>
      <c r="N26" s="522">
        <v>10000000</v>
      </c>
    </row>
    <row r="27" spans="8:14" x14ac:dyDescent="0.25">
      <c r="H27" s="523" t="s">
        <v>452</v>
      </c>
      <c r="I27" s="535">
        <v>50</v>
      </c>
      <c r="J27" s="524">
        <v>50</v>
      </c>
      <c r="K27" s="524">
        <v>75</v>
      </c>
      <c r="L27" s="524">
        <v>150</v>
      </c>
      <c r="M27" s="524">
        <v>300</v>
      </c>
      <c r="N27" s="524">
        <v>500</v>
      </c>
    </row>
    <row r="37" spans="2:9" s="88" customFormat="1" ht="13.5" x14ac:dyDescent="0.25">
      <c r="C37" s="817" t="s">
        <v>453</v>
      </c>
      <c r="D37" s="818"/>
      <c r="E37" s="818"/>
      <c r="F37" s="818"/>
      <c r="G37" s="818"/>
      <c r="H37" s="818"/>
      <c r="I37" s="530"/>
    </row>
    <row r="38" spans="2:9" s="88" customFormat="1" ht="24" x14ac:dyDescent="0.25">
      <c r="B38" s="815" t="s">
        <v>447</v>
      </c>
      <c r="C38" s="819" t="s">
        <v>454</v>
      </c>
      <c r="D38" s="820"/>
      <c r="E38" s="820"/>
      <c r="F38" s="820"/>
      <c r="G38" s="821"/>
      <c r="H38" s="527" t="s">
        <v>456</v>
      </c>
      <c r="I38" s="530"/>
    </row>
    <row r="39" spans="2:9" s="88" customFormat="1" ht="13.5" x14ac:dyDescent="0.25">
      <c r="B39" s="816"/>
      <c r="C39" s="613">
        <v>100000</v>
      </c>
      <c r="D39" s="613">
        <v>1500000</v>
      </c>
      <c r="E39" s="525">
        <v>4000000</v>
      </c>
      <c r="F39" s="525">
        <v>6000000</v>
      </c>
      <c r="G39" s="525">
        <v>10000000</v>
      </c>
      <c r="H39" s="525">
        <v>10000000</v>
      </c>
      <c r="I39" s="530"/>
    </row>
    <row r="40" spans="2:9" s="88" customFormat="1" ht="13.5" x14ac:dyDescent="0.25">
      <c r="B40" s="529" t="s">
        <v>455</v>
      </c>
      <c r="C40" s="614">
        <v>50</v>
      </c>
      <c r="D40" s="615">
        <v>50</v>
      </c>
      <c r="E40" s="526">
        <v>75</v>
      </c>
      <c r="F40" s="526">
        <v>150</v>
      </c>
      <c r="G40" s="526">
        <v>300</v>
      </c>
      <c r="H40" s="526">
        <v>500</v>
      </c>
      <c r="I40" s="530"/>
    </row>
  </sheetData>
  <mergeCells count="9">
    <mergeCell ref="H25:H26"/>
    <mergeCell ref="B38:B39"/>
    <mergeCell ref="C37:H37"/>
    <mergeCell ref="C38:G38"/>
    <mergeCell ref="H12:I12"/>
    <mergeCell ref="J12:J13"/>
    <mergeCell ref="J14:J16"/>
    <mergeCell ref="H21:H22"/>
    <mergeCell ref="M24:N24"/>
  </mergeCells>
  <printOptions horizontalCentered="1"/>
  <pageMargins left="0.75" right="0.5" top="0.5" bottom="0.4"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5:H28"/>
  <sheetViews>
    <sheetView workbookViewId="0">
      <selection activeCell="M27" sqref="M27"/>
    </sheetView>
  </sheetViews>
  <sheetFormatPr defaultColWidth="8.625" defaultRowHeight="12" x14ac:dyDescent="0.2"/>
  <cols>
    <col min="1" max="2" width="8.625" style="411"/>
    <col min="3" max="3" width="12.125" style="414" bestFit="1" customWidth="1"/>
    <col min="4" max="4" width="14.375" style="414" bestFit="1" customWidth="1"/>
    <col min="5" max="6" width="8.625" style="411"/>
    <col min="7" max="7" width="9.625" style="411" bestFit="1" customWidth="1"/>
    <col min="8" max="8" width="12" style="411" bestFit="1" customWidth="1"/>
    <col min="9" max="16384" width="8.625" style="411"/>
  </cols>
  <sheetData>
    <row r="5" spans="1:8" x14ac:dyDescent="0.2">
      <c r="A5" s="412" t="s">
        <v>272</v>
      </c>
    </row>
    <row r="6" spans="1:8" x14ac:dyDescent="0.2">
      <c r="C6" s="416" t="s">
        <v>273</v>
      </c>
      <c r="D6" s="416" t="s">
        <v>274</v>
      </c>
    </row>
    <row r="7" spans="1:8" x14ac:dyDescent="0.2">
      <c r="G7" s="411" t="s">
        <v>288</v>
      </c>
      <c r="H7" s="417">
        <v>3764285</v>
      </c>
    </row>
    <row r="8" spans="1:8" x14ac:dyDescent="0.2">
      <c r="A8" s="411" t="s">
        <v>275</v>
      </c>
      <c r="C8" s="414">
        <v>26089202.215399999</v>
      </c>
      <c r="D8" s="414">
        <v>1362740810.6800001</v>
      </c>
      <c r="G8" s="411" t="s">
        <v>289</v>
      </c>
      <c r="H8" s="417">
        <f>C13</f>
        <v>102986832.96430001</v>
      </c>
    </row>
    <row r="9" spans="1:8" x14ac:dyDescent="0.2">
      <c r="A9" s="411" t="s">
        <v>276</v>
      </c>
      <c r="C9" s="414">
        <v>1200497.3695</v>
      </c>
      <c r="D9" s="414">
        <v>63352256.039999999</v>
      </c>
      <c r="G9" s="411" t="s">
        <v>279</v>
      </c>
      <c r="H9" s="417">
        <f>$C$28</f>
        <v>24378076.787499998</v>
      </c>
    </row>
    <row r="10" spans="1:8" ht="12.75" thickBot="1" x14ac:dyDescent="0.25">
      <c r="A10" s="411" t="s">
        <v>277</v>
      </c>
      <c r="C10" s="414">
        <v>75696334.878000006</v>
      </c>
      <c r="D10" s="414">
        <v>3938207029.0700002</v>
      </c>
      <c r="G10" s="411" t="s">
        <v>290</v>
      </c>
      <c r="H10" s="420">
        <f>H7+H8-H9</f>
        <v>82373041.176800013</v>
      </c>
    </row>
    <row r="11" spans="1:8" ht="12.75" thickTop="1" x14ac:dyDescent="0.2">
      <c r="A11" s="411" t="s">
        <v>278</v>
      </c>
      <c r="C11" s="414">
        <v>798.50139999999999</v>
      </c>
      <c r="D11" s="414">
        <f>41254.48</f>
        <v>41254.480000000003</v>
      </c>
    </row>
    <row r="13" spans="1:8" ht="12.75" thickBot="1" x14ac:dyDescent="0.25">
      <c r="C13" s="415">
        <f>SUM(C8:C12)</f>
        <v>102986832.96430001</v>
      </c>
      <c r="D13" s="415">
        <f>SUM(D8:D12)</f>
        <v>5364341350.2699995</v>
      </c>
    </row>
    <row r="14" spans="1:8" ht="12.75" thickTop="1" x14ac:dyDescent="0.2"/>
    <row r="16" spans="1:8" x14ac:dyDescent="0.2">
      <c r="A16" s="412" t="s">
        <v>279</v>
      </c>
    </row>
    <row r="17" spans="1:7" x14ac:dyDescent="0.2">
      <c r="C17" s="416" t="s">
        <v>273</v>
      </c>
      <c r="D17" s="416" t="s">
        <v>274</v>
      </c>
    </row>
    <row r="18" spans="1:7" x14ac:dyDescent="0.2">
      <c r="A18" s="411" t="s">
        <v>280</v>
      </c>
      <c r="C18" s="414">
        <v>43510.886100000003</v>
      </c>
      <c r="D18" s="414">
        <v>2263804.04</v>
      </c>
      <c r="E18" s="417"/>
      <c r="F18" s="413"/>
      <c r="G18" s="413"/>
    </row>
    <row r="19" spans="1:7" x14ac:dyDescent="0.2">
      <c r="A19" s="411" t="s">
        <v>276</v>
      </c>
      <c r="C19" s="414">
        <v>504086.38390000002</v>
      </c>
      <c r="D19" s="414">
        <v>26529304.23</v>
      </c>
      <c r="F19" s="413"/>
    </row>
    <row r="20" spans="1:7" x14ac:dyDescent="0.2">
      <c r="A20" s="411" t="s">
        <v>281</v>
      </c>
      <c r="C20" s="414">
        <v>66.374899999999997</v>
      </c>
      <c r="D20" s="414">
        <v>3489</v>
      </c>
      <c r="F20" s="418"/>
    </row>
    <row r="21" spans="1:7" x14ac:dyDescent="0.2">
      <c r="A21" s="411" t="s">
        <v>282</v>
      </c>
      <c r="C21" s="414">
        <v>48.200400000000002</v>
      </c>
      <c r="D21" s="414">
        <v>2448.92</v>
      </c>
      <c r="F21" s="413"/>
    </row>
    <row r="22" spans="1:7" x14ac:dyDescent="0.2">
      <c r="A22" s="411" t="s">
        <v>283</v>
      </c>
      <c r="C22" s="414">
        <v>2172237.6834999998</v>
      </c>
      <c r="D22" s="414">
        <v>111883892.98</v>
      </c>
      <c r="F22" s="413"/>
    </row>
    <row r="23" spans="1:7" x14ac:dyDescent="0.2">
      <c r="A23" s="411" t="s">
        <v>284</v>
      </c>
      <c r="C23" s="414">
        <v>1484.1547</v>
      </c>
      <c r="D23" s="414">
        <v>77295.91</v>
      </c>
      <c r="F23" s="413"/>
    </row>
    <row r="24" spans="1:7" x14ac:dyDescent="0.2">
      <c r="A24" s="411" t="s">
        <v>285</v>
      </c>
      <c r="C24" s="414">
        <v>13785211.602399999</v>
      </c>
      <c r="D24" s="414">
        <v>722464828.76999998</v>
      </c>
      <c r="F24" s="413"/>
    </row>
    <row r="25" spans="1:7" x14ac:dyDescent="0.2">
      <c r="A25" s="411" t="s">
        <v>286</v>
      </c>
      <c r="C25" s="414">
        <v>7868386.8476</v>
      </c>
      <c r="D25" s="414">
        <v>412406468.13999999</v>
      </c>
      <c r="F25" s="413"/>
    </row>
    <row r="26" spans="1:7" x14ac:dyDescent="0.2">
      <c r="A26" s="411" t="s">
        <v>287</v>
      </c>
      <c r="C26" s="414">
        <v>3044.654</v>
      </c>
      <c r="D26" s="414">
        <v>161481.79</v>
      </c>
      <c r="F26" s="413"/>
    </row>
    <row r="28" spans="1:7" x14ac:dyDescent="0.2">
      <c r="C28" s="419">
        <f>SUM(C18:C27)</f>
        <v>24378076.787499998</v>
      </c>
      <c r="D28" s="419">
        <f>SUM(D18:D27)</f>
        <v>1275793013.78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3:Q28"/>
  <sheetViews>
    <sheetView topLeftCell="A2" workbookViewId="0">
      <selection activeCell="M27" sqref="M27"/>
    </sheetView>
  </sheetViews>
  <sheetFormatPr defaultRowHeight="15.75" x14ac:dyDescent="0.25"/>
  <cols>
    <col min="3" max="4" width="12.625" bestFit="1" customWidth="1"/>
    <col min="5" max="5" width="10.625" bestFit="1" customWidth="1"/>
    <col min="8" max="8" width="9.5" bestFit="1" customWidth="1"/>
    <col min="9" max="9" width="9.125" bestFit="1" customWidth="1"/>
  </cols>
  <sheetData>
    <row r="3" spans="1:17" x14ac:dyDescent="0.25">
      <c r="A3" s="496" t="s">
        <v>375</v>
      </c>
    </row>
    <row r="4" spans="1:17" x14ac:dyDescent="0.25">
      <c r="D4" s="473"/>
      <c r="E4" s="473"/>
    </row>
    <row r="5" spans="1:17" x14ac:dyDescent="0.25">
      <c r="I5">
        <f>TB!$O$34</f>
        <v>111691</v>
      </c>
    </row>
    <row r="6" spans="1:17" x14ac:dyDescent="0.25">
      <c r="D6" s="494">
        <v>43830</v>
      </c>
      <c r="E6" s="494">
        <v>43465</v>
      </c>
      <c r="O6" t="s">
        <v>288</v>
      </c>
      <c r="P6" t="s">
        <v>374</v>
      </c>
      <c r="Q6">
        <v>3121</v>
      </c>
    </row>
    <row r="7" spans="1:17" x14ac:dyDescent="0.25">
      <c r="A7" t="s">
        <v>369</v>
      </c>
      <c r="D7" s="473">
        <f>O7</f>
        <v>846</v>
      </c>
      <c r="E7" s="495">
        <v>702</v>
      </c>
      <c r="G7">
        <v>8369</v>
      </c>
      <c r="L7" t="s">
        <v>373</v>
      </c>
      <c r="O7">
        <v>846</v>
      </c>
      <c r="P7" s="472">
        <f>TB!$O$34</f>
        <v>111691</v>
      </c>
      <c r="Q7">
        <v>9</v>
      </c>
    </row>
    <row r="8" spans="1:17" x14ac:dyDescent="0.25">
      <c r="A8" t="s">
        <v>370</v>
      </c>
      <c r="D8" s="472" t="e">
        <f>'Notes (remaining)'!#REF!</f>
        <v>#REF!</v>
      </c>
      <c r="E8" t="e">
        <f>'Notes (remaining)'!#REF!</f>
        <v>#REF!</v>
      </c>
      <c r="G8">
        <v>19963</v>
      </c>
      <c r="Q8">
        <v>12</v>
      </c>
    </row>
    <row r="9" spans="1:17" x14ac:dyDescent="0.25">
      <c r="A9" t="s">
        <v>371</v>
      </c>
      <c r="D9" s="473">
        <f>P7</f>
        <v>111691</v>
      </c>
      <c r="E9">
        <v>1653</v>
      </c>
      <c r="Q9">
        <v>68</v>
      </c>
    </row>
    <row r="10" spans="1:17" ht="16.5" thickBot="1" x14ac:dyDescent="0.3">
      <c r="A10" t="s">
        <v>372</v>
      </c>
      <c r="D10" s="501" t="e">
        <f>D7+D8-D9</f>
        <v>#REF!</v>
      </c>
      <c r="E10" s="499" t="e">
        <f>E7+E8-E9</f>
        <v>#REF!</v>
      </c>
      <c r="Q10">
        <v>4667</v>
      </c>
    </row>
    <row r="11" spans="1:17" ht="16.5" thickTop="1" x14ac:dyDescent="0.25">
      <c r="Q11">
        <v>1192</v>
      </c>
    </row>
    <row r="14" spans="1:17" x14ac:dyDescent="0.25">
      <c r="A14" s="497" t="s">
        <v>376</v>
      </c>
    </row>
    <row r="15" spans="1:17" x14ac:dyDescent="0.25">
      <c r="D15" s="494">
        <v>43830</v>
      </c>
      <c r="E15" s="494">
        <v>43646</v>
      </c>
      <c r="H15" s="494">
        <v>43465</v>
      </c>
      <c r="I15" s="494">
        <v>43281</v>
      </c>
    </row>
    <row r="16" spans="1:17" x14ac:dyDescent="0.25">
      <c r="A16" t="s">
        <v>377</v>
      </c>
      <c r="D16">
        <f>SUM(TB!M35,TB!M38,TB!M39,TB!M40)</f>
        <v>29.3</v>
      </c>
      <c r="E16">
        <v>454</v>
      </c>
      <c r="H16" s="498">
        <f>279626/1000</f>
        <v>279.62599999999998</v>
      </c>
      <c r="I16">
        <v>262</v>
      </c>
    </row>
    <row r="17" spans="1:9" x14ac:dyDescent="0.25">
      <c r="A17" t="s">
        <v>378</v>
      </c>
      <c r="D17">
        <v>0</v>
      </c>
      <c r="E17">
        <v>0</v>
      </c>
      <c r="H17" s="498">
        <f>(250000-1000)/1000</f>
        <v>249</v>
      </c>
      <c r="I17">
        <v>0</v>
      </c>
    </row>
    <row r="19" spans="1:9" ht="16.5" thickBot="1" x14ac:dyDescent="0.3">
      <c r="D19" s="499">
        <f>SUM(D16:D18)</f>
        <v>29.3</v>
      </c>
      <c r="E19" s="499">
        <f>SUM(E16:E18)</f>
        <v>454</v>
      </c>
      <c r="H19" s="500">
        <f>SUM(H16:H18)</f>
        <v>528.62599999999998</v>
      </c>
      <c r="I19" s="499">
        <f>SUM(I16:I18)</f>
        <v>262</v>
      </c>
    </row>
    <row r="20" spans="1:9" ht="16.5" thickTop="1" x14ac:dyDescent="0.25">
      <c r="E20">
        <f>E19-D19</f>
        <v>424.7</v>
      </c>
      <c r="I20" s="498">
        <f>I19-H19</f>
        <v>-266.62599999999998</v>
      </c>
    </row>
    <row r="23" spans="1:9" x14ac:dyDescent="0.25">
      <c r="A23" t="s">
        <v>312</v>
      </c>
    </row>
    <row r="24" spans="1:9" x14ac:dyDescent="0.25">
      <c r="A24" t="s">
        <v>14</v>
      </c>
      <c r="C24" t="s">
        <v>70</v>
      </c>
      <c r="D24" t="s">
        <v>314</v>
      </c>
      <c r="E24" t="s">
        <v>315</v>
      </c>
      <c r="G24" t="s">
        <v>316</v>
      </c>
    </row>
    <row r="25" spans="1:9" x14ac:dyDescent="0.25">
      <c r="A25" t="s">
        <v>313</v>
      </c>
      <c r="C25">
        <v>172374</v>
      </c>
      <c r="D25">
        <v>172374</v>
      </c>
      <c r="E25">
        <f>C25-D25</f>
        <v>0</v>
      </c>
      <c r="G25" t="s">
        <v>317</v>
      </c>
      <c r="I25" s="474">
        <f>'Notes (remaining)'!K37</f>
        <v>3141821</v>
      </c>
    </row>
    <row r="26" spans="1:9" x14ac:dyDescent="0.25">
      <c r="A26" t="s">
        <v>290</v>
      </c>
      <c r="C26">
        <v>4346829.8250000002</v>
      </c>
      <c r="D26">
        <v>2829618</v>
      </c>
      <c r="E26">
        <f>C26-D26</f>
        <v>1517211.8250000002</v>
      </c>
      <c r="G26" t="s">
        <v>318</v>
      </c>
      <c r="I26">
        <f>D25</f>
        <v>172374</v>
      </c>
    </row>
    <row r="27" spans="1:9" ht="16.5" thickBot="1" x14ac:dyDescent="0.3">
      <c r="C27" s="499">
        <f>C26-C25</f>
        <v>4174455.8250000002</v>
      </c>
      <c r="D27" s="499">
        <f>D25-D26</f>
        <v>-2657244</v>
      </c>
      <c r="E27" s="499">
        <f>E25-E26</f>
        <v>-1517211.8250000002</v>
      </c>
      <c r="I27">
        <f>SUM(I25:I26)</f>
        <v>3314195</v>
      </c>
    </row>
    <row r="28" spans="1:9" ht="16.5" thickTop="1" x14ac:dyDescent="0.25"/>
  </sheetData>
  <pageMargins left="0.7" right="0.7" top="0.75" bottom="0.75"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B42"/>
  <sheetViews>
    <sheetView workbookViewId="0">
      <selection activeCell="M27" sqref="M27"/>
    </sheetView>
  </sheetViews>
  <sheetFormatPr defaultRowHeight="15.75" x14ac:dyDescent="0.25"/>
  <sheetData>
    <row r="2" spans="2:2" x14ac:dyDescent="0.25">
      <c r="B2" t="s">
        <v>331</v>
      </c>
    </row>
    <row r="3" spans="2:2" x14ac:dyDescent="0.25">
      <c r="B3" t="s">
        <v>332</v>
      </c>
    </row>
    <row r="4" spans="2:2" x14ac:dyDescent="0.25">
      <c r="B4" t="s">
        <v>333</v>
      </c>
    </row>
    <row r="5" spans="2:2" x14ac:dyDescent="0.25">
      <c r="B5" t="s">
        <v>334</v>
      </c>
    </row>
    <row r="6" spans="2:2" x14ac:dyDescent="0.25">
      <c r="B6" t="s">
        <v>335</v>
      </c>
    </row>
    <row r="7" spans="2:2" x14ac:dyDescent="0.25">
      <c r="B7" t="s">
        <v>336</v>
      </c>
    </row>
    <row r="8" spans="2:2" x14ac:dyDescent="0.25">
      <c r="B8" t="s">
        <v>337</v>
      </c>
    </row>
    <row r="9" spans="2:2" x14ac:dyDescent="0.25">
      <c r="B9" t="s">
        <v>338</v>
      </c>
    </row>
    <row r="10" spans="2:2" x14ac:dyDescent="0.25">
      <c r="B10" t="s">
        <v>339</v>
      </c>
    </row>
    <row r="11" spans="2:2" x14ac:dyDescent="0.25">
      <c r="B11" t="s">
        <v>340</v>
      </c>
    </row>
    <row r="12" spans="2:2" x14ac:dyDescent="0.25">
      <c r="B12" t="s">
        <v>341</v>
      </c>
    </row>
    <row r="13" spans="2:2" x14ac:dyDescent="0.25">
      <c r="B13" t="s">
        <v>342</v>
      </c>
    </row>
    <row r="15" spans="2:2" x14ac:dyDescent="0.25">
      <c r="B15" t="s">
        <v>343</v>
      </c>
    </row>
    <row r="16" spans="2:2" x14ac:dyDescent="0.25">
      <c r="B16" t="s">
        <v>344</v>
      </c>
    </row>
    <row r="17" spans="2:2" x14ac:dyDescent="0.25">
      <c r="B17" t="s">
        <v>345</v>
      </c>
    </row>
    <row r="18" spans="2:2" x14ac:dyDescent="0.25">
      <c r="B18" t="s">
        <v>346</v>
      </c>
    </row>
    <row r="19" spans="2:2" x14ac:dyDescent="0.25">
      <c r="B19" t="s">
        <v>347</v>
      </c>
    </row>
    <row r="20" spans="2:2" x14ac:dyDescent="0.25">
      <c r="B20" t="s">
        <v>348</v>
      </c>
    </row>
    <row r="21" spans="2:2" x14ac:dyDescent="0.25">
      <c r="B21" t="s">
        <v>349</v>
      </c>
    </row>
    <row r="22" spans="2:2" x14ac:dyDescent="0.25">
      <c r="B22">
        <v>2.4</v>
      </c>
    </row>
    <row r="23" spans="2:2" x14ac:dyDescent="0.25">
      <c r="B23" t="s">
        <v>350</v>
      </c>
    </row>
    <row r="24" spans="2:2" x14ac:dyDescent="0.25">
      <c r="B24" t="s">
        <v>351</v>
      </c>
    </row>
    <row r="25" spans="2:2" x14ac:dyDescent="0.25">
      <c r="B25" t="s">
        <v>352</v>
      </c>
    </row>
    <row r="26" spans="2:2" x14ac:dyDescent="0.25">
      <c r="B26" t="s">
        <v>353</v>
      </c>
    </row>
    <row r="27" spans="2:2" x14ac:dyDescent="0.25">
      <c r="B27" t="s">
        <v>354</v>
      </c>
    </row>
    <row r="28" spans="2:2" x14ac:dyDescent="0.25">
      <c r="B28" t="s">
        <v>355</v>
      </c>
    </row>
    <row r="29" spans="2:2" x14ac:dyDescent="0.25">
      <c r="B29" t="s">
        <v>356</v>
      </c>
    </row>
    <row r="30" spans="2:2" x14ac:dyDescent="0.25">
      <c r="B30" t="s">
        <v>357</v>
      </c>
    </row>
    <row r="31" spans="2:2" x14ac:dyDescent="0.25">
      <c r="B31" t="s">
        <v>358</v>
      </c>
    </row>
    <row r="32" spans="2:2" x14ac:dyDescent="0.25">
      <c r="B32" t="s">
        <v>359</v>
      </c>
    </row>
    <row r="33" spans="2:2" x14ac:dyDescent="0.25">
      <c r="B33" s="403">
        <v>43466</v>
      </c>
    </row>
    <row r="34" spans="2:2" x14ac:dyDescent="0.25">
      <c r="B34" s="403">
        <v>43831</v>
      </c>
    </row>
    <row r="35" spans="2:2" x14ac:dyDescent="0.25">
      <c r="B35" s="403">
        <v>43831</v>
      </c>
    </row>
    <row r="36" spans="2:2" x14ac:dyDescent="0.25">
      <c r="B36" t="s">
        <v>349</v>
      </c>
    </row>
    <row r="37" spans="2:2" x14ac:dyDescent="0.25">
      <c r="B37" t="s">
        <v>360</v>
      </c>
    </row>
    <row r="38" spans="2:2" x14ac:dyDescent="0.25">
      <c r="B38" t="s">
        <v>361</v>
      </c>
    </row>
    <row r="39" spans="2:2" x14ac:dyDescent="0.25">
      <c r="B39" t="s">
        <v>362</v>
      </c>
    </row>
    <row r="40" spans="2:2" x14ac:dyDescent="0.25">
      <c r="B40" t="s">
        <v>363</v>
      </c>
    </row>
    <row r="41" spans="2:2" x14ac:dyDescent="0.25">
      <c r="B41" t="s">
        <v>364</v>
      </c>
    </row>
    <row r="42" spans="2:2" x14ac:dyDescent="0.25">
      <c r="B42" t="s">
        <v>365</v>
      </c>
    </row>
  </sheetData>
  <pageMargins left="0.7" right="0.7" top="0.75" bottom="0.7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V45"/>
  <sheetViews>
    <sheetView showGridLines="0" topLeftCell="A13" workbookViewId="0">
      <selection activeCell="M27" sqref="M27"/>
    </sheetView>
  </sheetViews>
  <sheetFormatPr defaultColWidth="9" defaultRowHeight="12.75" x14ac:dyDescent="0.25"/>
  <cols>
    <col min="1" max="1" width="5.625" style="52" customWidth="1"/>
    <col min="2" max="2" width="13.375" style="52" customWidth="1"/>
    <col min="3" max="3" width="7.125" style="52" customWidth="1"/>
    <col min="4" max="4" width="6.125" style="52" customWidth="1"/>
    <col min="5" max="6" width="10" style="52" bestFit="1" customWidth="1"/>
    <col min="7" max="9" width="7.125" style="52" customWidth="1"/>
    <col min="10" max="10" width="6.625" style="52" customWidth="1"/>
    <col min="11" max="12" width="5.625" style="52" customWidth="1"/>
    <col min="13" max="13" width="9" style="466"/>
    <col min="14" max="14" width="10.5" style="52" bestFit="1" customWidth="1"/>
    <col min="15" max="16384" width="9" style="52"/>
  </cols>
  <sheetData>
    <row r="1" spans="1:18" x14ac:dyDescent="0.25">
      <c r="L1" s="467"/>
    </row>
    <row r="2" spans="1:18" s="349" customFormat="1" x14ac:dyDescent="0.25">
      <c r="A2" s="320">
        <v>5.0999999999999996</v>
      </c>
      <c r="B2" s="51" t="s">
        <v>109</v>
      </c>
      <c r="C2" s="347"/>
      <c r="D2" s="347"/>
      <c r="E2" s="347"/>
      <c r="F2" s="347"/>
      <c r="G2" s="348"/>
      <c r="H2" s="347"/>
      <c r="I2" s="347"/>
      <c r="J2" s="347"/>
      <c r="K2" s="347"/>
      <c r="L2" s="347"/>
      <c r="M2" s="468"/>
    </row>
    <row r="3" spans="1:18" s="349" customFormat="1" x14ac:dyDescent="0.25">
      <c r="B3" s="347"/>
      <c r="C3" s="347"/>
      <c r="D3" s="347"/>
      <c r="E3" s="347"/>
      <c r="F3" s="347"/>
      <c r="G3" s="347"/>
      <c r="H3" s="347"/>
      <c r="I3" s="347"/>
      <c r="J3" s="347"/>
      <c r="K3" s="347"/>
      <c r="L3" s="347"/>
      <c r="M3" s="468"/>
      <c r="N3" s="347"/>
      <c r="O3" s="347"/>
      <c r="P3" s="347"/>
      <c r="Q3" s="347"/>
      <c r="R3" s="347"/>
    </row>
    <row r="4" spans="1:18" s="369" customFormat="1" x14ac:dyDescent="0.25">
      <c r="A4" s="463"/>
      <c r="B4" s="393"/>
      <c r="C4" s="374"/>
      <c r="D4" s="796" t="s">
        <v>131</v>
      </c>
      <c r="E4" s="797"/>
      <c r="F4" s="797"/>
      <c r="G4" s="798"/>
      <c r="H4" s="796" t="s">
        <v>509</v>
      </c>
      <c r="I4" s="797"/>
      <c r="J4" s="798"/>
      <c r="K4" s="735" t="s">
        <v>151</v>
      </c>
      <c r="L4" s="737"/>
      <c r="M4" s="464"/>
      <c r="N4" s="464"/>
      <c r="O4" s="464"/>
      <c r="P4" s="464"/>
      <c r="Q4" s="464"/>
      <c r="R4" s="464"/>
    </row>
    <row r="5" spans="1:18" s="369" customFormat="1" x14ac:dyDescent="0.25">
      <c r="A5" s="463"/>
      <c r="B5" s="393"/>
      <c r="C5" s="374"/>
      <c r="D5" s="824"/>
      <c r="E5" s="825"/>
      <c r="F5" s="825"/>
      <c r="G5" s="826"/>
      <c r="H5" s="824"/>
      <c r="I5" s="825"/>
      <c r="J5" s="826"/>
      <c r="K5" s="822"/>
      <c r="L5" s="823"/>
      <c r="M5" s="464"/>
      <c r="N5" s="464"/>
      <c r="O5" s="464"/>
      <c r="P5" s="464"/>
      <c r="Q5" s="464"/>
      <c r="R5" s="464"/>
    </row>
    <row r="6" spans="1:18" s="369" customFormat="1" ht="38.25" x14ac:dyDescent="0.25">
      <c r="A6" s="463"/>
      <c r="B6" s="397" t="s">
        <v>139</v>
      </c>
      <c r="C6" s="398" t="s">
        <v>138</v>
      </c>
      <c r="D6" s="465" t="s">
        <v>510</v>
      </c>
      <c r="E6" s="465" t="s">
        <v>130</v>
      </c>
      <c r="F6" s="399" t="s">
        <v>137</v>
      </c>
      <c r="G6" s="465" t="s">
        <v>496</v>
      </c>
      <c r="H6" s="465" t="s">
        <v>129</v>
      </c>
      <c r="I6" s="399" t="s">
        <v>128</v>
      </c>
      <c r="J6" s="399" t="s">
        <v>136</v>
      </c>
      <c r="K6" s="399" t="s">
        <v>152</v>
      </c>
      <c r="L6" s="399" t="s">
        <v>153</v>
      </c>
      <c r="M6" s="464"/>
      <c r="N6" s="464"/>
      <c r="O6" s="464"/>
      <c r="P6" s="464"/>
      <c r="Q6" s="464"/>
      <c r="R6" s="464"/>
    </row>
    <row r="7" spans="1:18" s="396" customFormat="1" x14ac:dyDescent="0.25">
      <c r="A7" s="392"/>
      <c r="B7" s="393"/>
      <c r="C7" s="394"/>
      <c r="D7" s="804" t="s">
        <v>135</v>
      </c>
      <c r="E7" s="804"/>
      <c r="F7" s="804"/>
      <c r="G7" s="804"/>
      <c r="H7" s="804"/>
      <c r="I7" s="804"/>
      <c r="J7" s="804"/>
      <c r="K7" s="805" t="s">
        <v>134</v>
      </c>
      <c r="L7" s="805"/>
      <c r="M7" s="395"/>
      <c r="N7" s="395"/>
      <c r="O7" s="395"/>
      <c r="P7" s="395"/>
      <c r="Q7" s="395"/>
      <c r="R7" s="395"/>
    </row>
    <row r="8" spans="1:18" s="54" customFormat="1" x14ac:dyDescent="0.25">
      <c r="B8" s="322" t="s">
        <v>133</v>
      </c>
      <c r="C8" s="316"/>
      <c r="D8" s="65"/>
      <c r="E8" s="65"/>
      <c r="F8" s="65"/>
      <c r="G8" s="65"/>
      <c r="H8" s="65"/>
      <c r="I8" s="65"/>
      <c r="J8" s="65"/>
      <c r="K8" s="313"/>
      <c r="L8" s="313"/>
      <c r="M8" s="395"/>
      <c r="N8" s="51"/>
      <c r="O8" s="51"/>
      <c r="P8" s="51"/>
      <c r="Q8" s="51"/>
      <c r="R8" s="51"/>
    </row>
    <row r="9" spans="1:18" s="320" customFormat="1" x14ac:dyDescent="0.25">
      <c r="B9" s="322"/>
      <c r="C9" s="350"/>
      <c r="D9" s="65"/>
      <c r="E9" s="65"/>
      <c r="F9" s="65"/>
      <c r="G9" s="65"/>
      <c r="H9" s="65"/>
      <c r="I9" s="65"/>
      <c r="J9" s="65"/>
      <c r="K9" s="313"/>
      <c r="L9" s="313"/>
      <c r="M9" s="395"/>
      <c r="N9" s="51"/>
      <c r="O9" s="51"/>
      <c r="P9" s="51"/>
      <c r="Q9" s="51"/>
      <c r="R9" s="51"/>
    </row>
    <row r="10" spans="1:18" s="320" customFormat="1" x14ac:dyDescent="0.25">
      <c r="B10" s="321" t="s">
        <v>132</v>
      </c>
      <c r="C10" s="402">
        <v>44196</v>
      </c>
      <c r="D10" s="315">
        <v>0</v>
      </c>
      <c r="E10" s="315">
        <v>25000</v>
      </c>
      <c r="F10" s="315">
        <v>25000</v>
      </c>
      <c r="G10" s="315">
        <f>E10-F10</f>
        <v>0</v>
      </c>
      <c r="H10" s="315">
        <v>0</v>
      </c>
      <c r="I10" s="315">
        <v>0</v>
      </c>
      <c r="J10" s="65">
        <v>0</v>
      </c>
      <c r="K10" s="65">
        <v>0</v>
      </c>
      <c r="L10" s="65">
        <v>0</v>
      </c>
      <c r="M10" s="395">
        <v>0</v>
      </c>
      <c r="N10" s="51"/>
      <c r="O10" s="51"/>
      <c r="P10" s="51"/>
      <c r="Q10" s="51"/>
      <c r="R10" s="51"/>
    </row>
    <row r="11" spans="1:18" s="320" customFormat="1" x14ac:dyDescent="0.25">
      <c r="B11" s="321" t="s">
        <v>132</v>
      </c>
      <c r="C11" s="402">
        <v>44168</v>
      </c>
      <c r="D11" s="315">
        <v>0</v>
      </c>
      <c r="E11" s="315">
        <v>705000</v>
      </c>
      <c r="F11" s="315">
        <v>705000</v>
      </c>
      <c r="G11" s="315">
        <f t="shared" ref="G11:G23" si="0">E11-F11</f>
        <v>0</v>
      </c>
      <c r="H11" s="315">
        <v>0</v>
      </c>
      <c r="I11" s="315">
        <v>0</v>
      </c>
      <c r="J11" s="65">
        <v>0</v>
      </c>
      <c r="K11" s="65">
        <v>0</v>
      </c>
      <c r="L11" s="65">
        <v>0</v>
      </c>
      <c r="M11" s="395"/>
      <c r="N11" s="51"/>
      <c r="O11" s="51"/>
      <c r="P11" s="51"/>
      <c r="Q11" s="51"/>
      <c r="R11" s="51"/>
    </row>
    <row r="12" spans="1:18" s="320" customFormat="1" x14ac:dyDescent="0.25">
      <c r="B12" s="321" t="s">
        <v>132</v>
      </c>
      <c r="C12" s="402">
        <v>44154</v>
      </c>
      <c r="D12" s="315">
        <v>0</v>
      </c>
      <c r="E12" s="315">
        <v>290000</v>
      </c>
      <c r="F12" s="315">
        <v>290000</v>
      </c>
      <c r="G12" s="315">
        <f t="shared" si="0"/>
        <v>0</v>
      </c>
      <c r="H12" s="315">
        <v>0</v>
      </c>
      <c r="I12" s="315">
        <v>0</v>
      </c>
      <c r="J12" s="65">
        <v>0</v>
      </c>
      <c r="K12" s="65">
        <v>0</v>
      </c>
      <c r="L12" s="65">
        <v>0</v>
      </c>
      <c r="M12" s="395"/>
      <c r="N12" s="51"/>
      <c r="O12" s="51"/>
      <c r="P12" s="51"/>
      <c r="Q12" s="51"/>
      <c r="R12" s="51"/>
    </row>
    <row r="13" spans="1:18" s="320" customFormat="1" x14ac:dyDescent="0.25">
      <c r="B13" s="321" t="s">
        <v>132</v>
      </c>
      <c r="C13" s="402">
        <v>44252</v>
      </c>
      <c r="D13" s="315">
        <v>0</v>
      </c>
      <c r="E13" s="315">
        <v>1425000</v>
      </c>
      <c r="F13" s="315">
        <v>1425000</v>
      </c>
      <c r="G13" s="315">
        <f t="shared" si="0"/>
        <v>0</v>
      </c>
      <c r="H13" s="315">
        <v>0</v>
      </c>
      <c r="I13" s="315">
        <v>0</v>
      </c>
      <c r="J13" s="65">
        <v>0</v>
      </c>
      <c r="K13" s="65">
        <v>0</v>
      </c>
      <c r="L13" s="65">
        <v>0</v>
      </c>
      <c r="M13" s="469"/>
      <c r="N13" s="51"/>
      <c r="O13" s="51"/>
      <c r="P13" s="51"/>
      <c r="Q13" s="51"/>
      <c r="R13" s="51"/>
    </row>
    <row r="14" spans="1:18" s="320" customFormat="1" x14ac:dyDescent="0.25">
      <c r="B14" s="321" t="s">
        <v>132</v>
      </c>
      <c r="C14" s="402">
        <v>44098</v>
      </c>
      <c r="D14" s="315">
        <v>0</v>
      </c>
      <c r="E14" s="315">
        <v>200000</v>
      </c>
      <c r="F14" s="315">
        <v>200000</v>
      </c>
      <c r="G14" s="315">
        <f t="shared" si="0"/>
        <v>0</v>
      </c>
      <c r="H14" s="315">
        <v>0</v>
      </c>
      <c r="I14" s="315">
        <v>0</v>
      </c>
      <c r="J14" s="65">
        <v>0</v>
      </c>
      <c r="K14" s="65">
        <v>0</v>
      </c>
      <c r="L14" s="65">
        <v>0</v>
      </c>
      <c r="M14" s="395"/>
      <c r="N14" s="51"/>
      <c r="O14" s="51"/>
      <c r="P14" s="51"/>
      <c r="Q14" s="51"/>
      <c r="R14" s="51"/>
    </row>
    <row r="15" spans="1:18" s="320" customFormat="1" x14ac:dyDescent="0.25">
      <c r="B15" s="321" t="s">
        <v>132</v>
      </c>
      <c r="C15" s="402">
        <v>44224</v>
      </c>
      <c r="D15" s="315">
        <v>0</v>
      </c>
      <c r="E15" s="315">
        <v>500000</v>
      </c>
      <c r="F15" s="315">
        <v>500000</v>
      </c>
      <c r="G15" s="315">
        <f t="shared" si="0"/>
        <v>0</v>
      </c>
      <c r="H15" s="315">
        <v>0</v>
      </c>
      <c r="I15" s="315">
        <v>0</v>
      </c>
      <c r="J15" s="65">
        <v>0</v>
      </c>
      <c r="K15" s="65">
        <v>0</v>
      </c>
      <c r="L15" s="65">
        <v>0</v>
      </c>
      <c r="M15" s="469"/>
      <c r="N15" s="51"/>
      <c r="O15" s="51"/>
      <c r="P15" s="51"/>
      <c r="Q15" s="51"/>
      <c r="R15" s="51"/>
    </row>
    <row r="16" spans="1:18" s="320" customFormat="1" x14ac:dyDescent="0.25">
      <c r="B16" s="321" t="s">
        <v>132</v>
      </c>
      <c r="C16" s="402">
        <v>44056</v>
      </c>
      <c r="D16" s="315">
        <v>0</v>
      </c>
      <c r="E16" s="315">
        <v>125000</v>
      </c>
      <c r="F16" s="315">
        <v>125000</v>
      </c>
      <c r="G16" s="315">
        <f t="shared" si="0"/>
        <v>0</v>
      </c>
      <c r="H16" s="315">
        <v>0</v>
      </c>
      <c r="I16" s="315">
        <v>0</v>
      </c>
      <c r="J16" s="65">
        <v>0</v>
      </c>
      <c r="K16" s="65">
        <v>0</v>
      </c>
      <c r="L16" s="65">
        <v>0</v>
      </c>
      <c r="M16" s="469"/>
      <c r="N16" s="51"/>
      <c r="O16" s="51"/>
      <c r="P16" s="51"/>
      <c r="Q16" s="51"/>
      <c r="R16" s="51"/>
    </row>
    <row r="17" spans="2:22" s="320" customFormat="1" x14ac:dyDescent="0.25">
      <c r="B17" s="321" t="s">
        <v>132</v>
      </c>
      <c r="C17" s="402">
        <v>44140</v>
      </c>
      <c r="D17" s="315">
        <v>0</v>
      </c>
      <c r="E17" s="315">
        <v>1180000</v>
      </c>
      <c r="F17" s="315">
        <v>1180000</v>
      </c>
      <c r="G17" s="315">
        <f t="shared" si="0"/>
        <v>0</v>
      </c>
      <c r="H17" s="315">
        <v>0</v>
      </c>
      <c r="I17" s="315">
        <v>0</v>
      </c>
      <c r="J17" s="65">
        <v>0</v>
      </c>
      <c r="K17" s="65">
        <v>0</v>
      </c>
      <c r="L17" s="65">
        <v>0</v>
      </c>
      <c r="M17" s="395"/>
      <c r="N17" s="51"/>
      <c r="O17" s="51"/>
      <c r="P17" s="51"/>
      <c r="Q17" s="51"/>
      <c r="R17" s="51"/>
    </row>
    <row r="18" spans="2:22" s="549" customFormat="1" x14ac:dyDescent="0.25">
      <c r="B18" s="321" t="s">
        <v>132</v>
      </c>
      <c r="C18" s="402">
        <v>44112</v>
      </c>
      <c r="D18" s="315">
        <v>0</v>
      </c>
      <c r="E18" s="315">
        <v>1965000</v>
      </c>
      <c r="F18" s="315">
        <v>1965000</v>
      </c>
      <c r="G18" s="315">
        <f t="shared" si="0"/>
        <v>0</v>
      </c>
      <c r="H18" s="315">
        <v>0</v>
      </c>
      <c r="I18" s="315">
        <v>0</v>
      </c>
      <c r="J18" s="65">
        <v>0</v>
      </c>
      <c r="K18" s="65">
        <v>0</v>
      </c>
      <c r="L18" s="65">
        <v>0</v>
      </c>
      <c r="M18" s="395"/>
      <c r="N18" s="550"/>
      <c r="O18" s="550"/>
      <c r="P18" s="550"/>
      <c r="Q18" s="550"/>
      <c r="R18" s="550"/>
    </row>
    <row r="19" spans="2:22" s="549" customFormat="1" x14ac:dyDescent="0.25">
      <c r="B19" s="321" t="s">
        <v>132</v>
      </c>
      <c r="C19" s="402">
        <v>44084</v>
      </c>
      <c r="D19" s="315">
        <v>0</v>
      </c>
      <c r="E19" s="315">
        <v>250000</v>
      </c>
      <c r="F19" s="315">
        <v>250000</v>
      </c>
      <c r="G19" s="315">
        <f t="shared" si="0"/>
        <v>0</v>
      </c>
      <c r="H19" s="315">
        <v>0</v>
      </c>
      <c r="I19" s="315">
        <v>0</v>
      </c>
      <c r="J19" s="65">
        <v>0</v>
      </c>
      <c r="K19" s="65">
        <v>0</v>
      </c>
      <c r="L19" s="65">
        <v>0</v>
      </c>
      <c r="M19" s="395"/>
      <c r="N19" s="550"/>
      <c r="O19" s="550"/>
      <c r="P19" s="550"/>
      <c r="Q19" s="550"/>
      <c r="R19" s="550"/>
    </row>
    <row r="20" spans="2:22" s="549" customFormat="1" x14ac:dyDescent="0.25">
      <c r="B20" s="321" t="s">
        <v>132</v>
      </c>
      <c r="C20" s="402">
        <v>44070</v>
      </c>
      <c r="D20" s="315">
        <v>0</v>
      </c>
      <c r="E20" s="315">
        <v>465000</v>
      </c>
      <c r="F20" s="315">
        <v>465000</v>
      </c>
      <c r="G20" s="315">
        <f t="shared" si="0"/>
        <v>0</v>
      </c>
      <c r="H20" s="315">
        <v>0</v>
      </c>
      <c r="I20" s="315">
        <v>0</v>
      </c>
      <c r="J20" s="65">
        <v>0</v>
      </c>
      <c r="K20" s="65">
        <v>0</v>
      </c>
      <c r="L20" s="65">
        <v>0</v>
      </c>
      <c r="M20" s="395"/>
      <c r="N20" s="550"/>
      <c r="O20" s="550"/>
      <c r="P20" s="550"/>
      <c r="Q20" s="550"/>
      <c r="R20" s="550"/>
    </row>
    <row r="21" spans="2:22" s="549" customFormat="1" x14ac:dyDescent="0.25">
      <c r="B21" s="321" t="s">
        <v>132</v>
      </c>
      <c r="C21" s="402">
        <v>44182</v>
      </c>
      <c r="D21" s="315">
        <v>0</v>
      </c>
      <c r="E21" s="315">
        <v>100000</v>
      </c>
      <c r="F21" s="315">
        <v>100000</v>
      </c>
      <c r="G21" s="315">
        <f t="shared" si="0"/>
        <v>0</v>
      </c>
      <c r="H21" s="315">
        <v>0</v>
      </c>
      <c r="I21" s="315">
        <v>0</v>
      </c>
      <c r="J21" s="65">
        <v>0</v>
      </c>
      <c r="K21" s="65">
        <v>0</v>
      </c>
      <c r="L21" s="65">
        <v>0</v>
      </c>
      <c r="M21" s="395"/>
      <c r="N21" s="550"/>
      <c r="O21" s="550"/>
      <c r="P21" s="550"/>
      <c r="Q21" s="550"/>
      <c r="R21" s="550"/>
    </row>
    <row r="22" spans="2:22" s="549" customFormat="1" x14ac:dyDescent="0.25">
      <c r="B22" s="321" t="s">
        <v>132</v>
      </c>
      <c r="C22" s="402">
        <v>44028</v>
      </c>
      <c r="D22" s="315">
        <v>0</v>
      </c>
      <c r="E22" s="315">
        <v>1975000</v>
      </c>
      <c r="F22" s="315">
        <v>1975000</v>
      </c>
      <c r="G22" s="315">
        <f t="shared" si="0"/>
        <v>0</v>
      </c>
      <c r="H22" s="315">
        <v>0</v>
      </c>
      <c r="I22" s="315">
        <v>0</v>
      </c>
      <c r="J22" s="65">
        <v>0</v>
      </c>
      <c r="K22" s="65">
        <v>0</v>
      </c>
      <c r="L22" s="65">
        <v>0</v>
      </c>
      <c r="M22" s="395"/>
      <c r="N22" s="550"/>
      <c r="O22" s="550"/>
      <c r="P22" s="550"/>
      <c r="Q22" s="550"/>
      <c r="R22" s="550"/>
    </row>
    <row r="23" spans="2:22" s="549" customFormat="1" x14ac:dyDescent="0.25">
      <c r="B23" s="321" t="s">
        <v>132</v>
      </c>
      <c r="C23" s="402">
        <v>44210</v>
      </c>
      <c r="D23" s="315">
        <v>0</v>
      </c>
      <c r="E23" s="315">
        <v>65000</v>
      </c>
      <c r="F23" s="315">
        <v>65000</v>
      </c>
      <c r="G23" s="315">
        <f t="shared" si="0"/>
        <v>0</v>
      </c>
      <c r="H23" s="315">
        <v>0</v>
      </c>
      <c r="I23" s="315">
        <v>0</v>
      </c>
      <c r="J23" s="65">
        <v>0</v>
      </c>
      <c r="K23" s="65">
        <v>0</v>
      </c>
      <c r="L23" s="65">
        <v>0</v>
      </c>
      <c r="M23" s="395"/>
      <c r="N23" s="550"/>
      <c r="O23" s="550"/>
      <c r="P23" s="550"/>
      <c r="Q23" s="550"/>
      <c r="R23" s="550"/>
    </row>
    <row r="24" spans="2:22" s="320" customFormat="1" x14ac:dyDescent="0.25">
      <c r="B24" s="321"/>
      <c r="C24" s="402"/>
      <c r="D24" s="315"/>
      <c r="E24" s="315"/>
      <c r="F24" s="315"/>
      <c r="G24" s="315"/>
      <c r="H24" s="315"/>
      <c r="I24" s="315"/>
      <c r="J24" s="315"/>
      <c r="K24" s="490"/>
      <c r="L24" s="490"/>
      <c r="M24" s="469"/>
      <c r="N24" s="51"/>
      <c r="O24" s="51"/>
      <c r="P24" s="51"/>
      <c r="Q24" s="51"/>
      <c r="R24" s="51"/>
    </row>
    <row r="25" spans="2:22" s="320" customFormat="1" x14ac:dyDescent="0.25">
      <c r="B25" s="322" t="s">
        <v>368</v>
      </c>
      <c r="C25" s="402"/>
      <c r="D25" s="315"/>
      <c r="E25" s="315"/>
      <c r="F25" s="315"/>
      <c r="G25" s="315"/>
      <c r="H25" s="315"/>
      <c r="I25" s="315"/>
      <c r="J25" s="315"/>
      <c r="K25" s="490"/>
      <c r="L25" s="490"/>
      <c r="M25" s="469"/>
      <c r="N25" s="51"/>
      <c r="O25" s="51"/>
      <c r="P25" s="51"/>
      <c r="Q25" s="51"/>
      <c r="R25" s="51"/>
    </row>
    <row r="26" spans="2:22" s="320" customFormat="1" x14ac:dyDescent="0.25">
      <c r="B26" s="321"/>
      <c r="C26" s="402"/>
      <c r="D26" s="315"/>
      <c r="E26" s="315"/>
      <c r="F26" s="315"/>
      <c r="G26" s="315"/>
      <c r="H26" s="315"/>
      <c r="I26" s="315"/>
      <c r="J26" s="315"/>
      <c r="K26" s="490"/>
      <c r="L26" s="490"/>
      <c r="M26" s="469"/>
      <c r="N26" s="51"/>
      <c r="O26" s="51"/>
      <c r="P26" s="51"/>
      <c r="Q26" s="51"/>
      <c r="R26" s="51"/>
    </row>
    <row r="27" spans="2:22" s="54" customFormat="1" x14ac:dyDescent="0.25">
      <c r="B27" s="321" t="s">
        <v>132</v>
      </c>
      <c r="C27" s="402">
        <v>43916</v>
      </c>
      <c r="D27" s="315">
        <v>0</v>
      </c>
      <c r="E27" s="315">
        <v>40000</v>
      </c>
      <c r="F27" s="315">
        <v>40000</v>
      </c>
      <c r="G27" s="315">
        <f>E27-F27</f>
        <v>0</v>
      </c>
      <c r="H27" s="315">
        <v>0</v>
      </c>
      <c r="I27" s="315">
        <v>0</v>
      </c>
      <c r="J27" s="65">
        <v>0</v>
      </c>
      <c r="K27" s="65">
        <v>0</v>
      </c>
      <c r="L27" s="65">
        <v>0</v>
      </c>
      <c r="M27" s="469"/>
      <c r="N27" s="51"/>
      <c r="O27" s="51"/>
      <c r="P27" s="51"/>
      <c r="Q27" s="51"/>
      <c r="R27" s="51"/>
    </row>
    <row r="28" spans="2:22" s="320" customFormat="1" x14ac:dyDescent="0.25">
      <c r="B28" s="321" t="s">
        <v>132</v>
      </c>
      <c r="C28" s="402">
        <v>44014</v>
      </c>
      <c r="D28" s="315">
        <v>0</v>
      </c>
      <c r="E28" s="315">
        <v>80000</v>
      </c>
      <c r="F28" s="315">
        <v>80000</v>
      </c>
      <c r="G28" s="315">
        <f t="shared" ref="G28:G29" si="1">E28-F28</f>
        <v>0</v>
      </c>
      <c r="H28" s="315">
        <v>0</v>
      </c>
      <c r="I28" s="315">
        <v>0</v>
      </c>
      <c r="J28" s="65">
        <v>0</v>
      </c>
      <c r="K28" s="65">
        <v>0</v>
      </c>
      <c r="L28" s="65">
        <v>0</v>
      </c>
      <c r="M28" s="469"/>
      <c r="N28" s="51"/>
      <c r="O28" s="51"/>
      <c r="P28" s="51"/>
      <c r="Q28" s="51"/>
      <c r="R28" s="51"/>
    </row>
    <row r="29" spans="2:22" s="320" customFormat="1" x14ac:dyDescent="0.25">
      <c r="B29" s="321" t="s">
        <v>132</v>
      </c>
      <c r="C29" s="402">
        <v>44028</v>
      </c>
      <c r="D29" s="315">
        <v>0</v>
      </c>
      <c r="E29" s="315">
        <v>875000</v>
      </c>
      <c r="F29" s="315">
        <v>875000</v>
      </c>
      <c r="G29" s="315">
        <f t="shared" si="1"/>
        <v>0</v>
      </c>
      <c r="H29" s="315">
        <v>0</v>
      </c>
      <c r="I29" s="315">
        <v>0</v>
      </c>
      <c r="J29" s="65">
        <v>0</v>
      </c>
      <c r="K29" s="65">
        <v>0</v>
      </c>
      <c r="L29" s="65">
        <v>0</v>
      </c>
      <c r="M29" s="469"/>
      <c r="N29" s="51"/>
      <c r="O29" s="51"/>
      <c r="P29" s="51"/>
      <c r="Q29" s="51"/>
      <c r="R29" s="51"/>
    </row>
    <row r="30" spans="2:22" s="54" customFormat="1" x14ac:dyDescent="0.25">
      <c r="B30" s="320"/>
      <c r="D30" s="315"/>
      <c r="E30" s="315"/>
      <c r="F30" s="315"/>
      <c r="G30" s="315"/>
      <c r="H30" s="315"/>
      <c r="I30" s="315"/>
      <c r="J30" s="315"/>
      <c r="K30" s="319"/>
      <c r="L30" s="319"/>
      <c r="M30" s="469"/>
      <c r="N30" s="65"/>
      <c r="O30" s="51"/>
      <c r="P30" s="51"/>
      <c r="Q30" s="65"/>
      <c r="R30" s="65"/>
      <c r="S30" s="68"/>
      <c r="T30" s="68"/>
      <c r="U30" s="68"/>
      <c r="V30" s="68"/>
    </row>
    <row r="31" spans="2:22" s="320" customFormat="1" x14ac:dyDescent="0.25">
      <c r="B31" s="322" t="s">
        <v>472</v>
      </c>
      <c r="C31" s="402"/>
      <c r="D31" s="315"/>
      <c r="E31" s="315"/>
      <c r="F31" s="315"/>
      <c r="G31" s="315"/>
      <c r="H31" s="315"/>
      <c r="I31" s="315"/>
      <c r="J31" s="315"/>
      <c r="K31" s="490"/>
      <c r="L31" s="490"/>
      <c r="M31" s="469"/>
      <c r="N31" s="51"/>
      <c r="O31" s="51"/>
      <c r="P31" s="51"/>
      <c r="Q31" s="51"/>
      <c r="R31" s="51"/>
    </row>
    <row r="32" spans="2:22" s="320" customFormat="1" x14ac:dyDescent="0.25">
      <c r="B32" s="322"/>
      <c r="C32" s="402"/>
      <c r="D32" s="315"/>
      <c r="E32" s="315"/>
      <c r="F32" s="315"/>
      <c r="G32" s="315"/>
      <c r="H32" s="315"/>
      <c r="I32" s="315"/>
      <c r="J32" s="315"/>
      <c r="K32" s="490"/>
      <c r="L32" s="490"/>
      <c r="M32" s="469"/>
      <c r="N32" s="51"/>
      <c r="O32" s="51"/>
      <c r="P32" s="51"/>
      <c r="Q32" s="51"/>
      <c r="R32" s="51"/>
    </row>
    <row r="33" spans="2:22" s="549" customFormat="1" x14ac:dyDescent="0.25">
      <c r="B33" s="321" t="s">
        <v>132</v>
      </c>
      <c r="C33" s="402">
        <v>43720</v>
      </c>
      <c r="D33" s="315">
        <v>0</v>
      </c>
      <c r="E33" s="315">
        <v>280000</v>
      </c>
      <c r="F33" s="315">
        <v>280000</v>
      </c>
      <c r="G33" s="315">
        <f>E33-F33</f>
        <v>0</v>
      </c>
      <c r="H33" s="315">
        <v>0</v>
      </c>
      <c r="I33" s="315">
        <v>0</v>
      </c>
      <c r="J33" s="547">
        <v>0</v>
      </c>
      <c r="K33" s="547">
        <v>0</v>
      </c>
      <c r="L33" s="547">
        <v>0</v>
      </c>
      <c r="M33" s="469"/>
      <c r="N33" s="550"/>
      <c r="O33" s="550"/>
      <c r="P33" s="550"/>
      <c r="Q33" s="550"/>
      <c r="R33" s="550"/>
    </row>
    <row r="34" spans="2:22" s="549" customFormat="1" x14ac:dyDescent="0.25">
      <c r="B34" s="321" t="s">
        <v>132</v>
      </c>
      <c r="C34" s="402">
        <v>43818</v>
      </c>
      <c r="D34" s="315">
        <v>0</v>
      </c>
      <c r="E34" s="315">
        <v>300000</v>
      </c>
      <c r="F34" s="315">
        <v>300000</v>
      </c>
      <c r="G34" s="315">
        <f t="shared" ref="G34:G39" si="2">E34-F34</f>
        <v>0</v>
      </c>
      <c r="H34" s="315">
        <v>0</v>
      </c>
      <c r="I34" s="315">
        <v>0</v>
      </c>
      <c r="J34" s="547">
        <v>0</v>
      </c>
      <c r="K34" s="547">
        <v>0</v>
      </c>
      <c r="L34" s="547">
        <v>0</v>
      </c>
      <c r="M34" s="469"/>
      <c r="N34" s="550"/>
      <c r="O34" s="550"/>
      <c r="P34" s="550"/>
      <c r="Q34" s="550"/>
      <c r="R34" s="550"/>
    </row>
    <row r="35" spans="2:22" s="549" customFormat="1" x14ac:dyDescent="0.25">
      <c r="B35" s="321" t="s">
        <v>132</v>
      </c>
      <c r="C35" s="402">
        <v>43706</v>
      </c>
      <c r="D35" s="315">
        <v>0</v>
      </c>
      <c r="E35" s="315">
        <v>650000</v>
      </c>
      <c r="F35" s="315">
        <v>650000</v>
      </c>
      <c r="G35" s="315">
        <f t="shared" si="2"/>
        <v>0</v>
      </c>
      <c r="H35" s="315">
        <v>0</v>
      </c>
      <c r="I35" s="315">
        <v>0</v>
      </c>
      <c r="J35" s="547">
        <v>0</v>
      </c>
      <c r="K35" s="547">
        <v>0</v>
      </c>
      <c r="L35" s="547">
        <v>0</v>
      </c>
      <c r="M35" s="469"/>
      <c r="N35" s="550"/>
      <c r="O35" s="550"/>
      <c r="P35" s="550"/>
      <c r="Q35" s="550"/>
      <c r="R35" s="550"/>
    </row>
    <row r="36" spans="2:22" s="320" customFormat="1" x14ac:dyDescent="0.25">
      <c r="B36" s="321" t="s">
        <v>132</v>
      </c>
      <c r="C36" s="402">
        <v>43972</v>
      </c>
      <c r="D36" s="315">
        <v>0</v>
      </c>
      <c r="E36" s="315">
        <v>1000000</v>
      </c>
      <c r="F36" s="315">
        <v>1000000</v>
      </c>
      <c r="G36" s="315">
        <f t="shared" si="2"/>
        <v>0</v>
      </c>
      <c r="H36" s="315">
        <v>0</v>
      </c>
      <c r="I36" s="315">
        <v>0</v>
      </c>
      <c r="J36" s="547">
        <v>0</v>
      </c>
      <c r="K36" s="547">
        <v>0</v>
      </c>
      <c r="L36" s="547">
        <v>0</v>
      </c>
      <c r="M36" s="469"/>
      <c r="N36" s="51"/>
      <c r="O36" s="51"/>
      <c r="P36" s="51"/>
      <c r="Q36" s="51"/>
      <c r="R36" s="51"/>
    </row>
    <row r="37" spans="2:22" s="320" customFormat="1" x14ac:dyDescent="0.25">
      <c r="B37" s="321" t="s">
        <v>132</v>
      </c>
      <c r="C37" s="402">
        <v>43888</v>
      </c>
      <c r="D37" s="315">
        <v>0</v>
      </c>
      <c r="E37" s="315">
        <v>2750000</v>
      </c>
      <c r="F37" s="315">
        <v>2750000</v>
      </c>
      <c r="G37" s="315">
        <f t="shared" si="2"/>
        <v>0</v>
      </c>
      <c r="H37" s="315">
        <v>0</v>
      </c>
      <c r="I37" s="315">
        <v>0</v>
      </c>
      <c r="J37" s="547">
        <v>0</v>
      </c>
      <c r="K37" s="547">
        <v>0</v>
      </c>
      <c r="L37" s="547">
        <v>0</v>
      </c>
      <c r="M37" s="469"/>
      <c r="N37" s="51"/>
      <c r="O37" s="51"/>
      <c r="P37" s="51"/>
      <c r="Q37" s="51"/>
      <c r="R37" s="51"/>
    </row>
    <row r="38" spans="2:22" s="549" customFormat="1" x14ac:dyDescent="0.25">
      <c r="B38" s="321" t="s">
        <v>132</v>
      </c>
      <c r="C38" s="402">
        <v>43693</v>
      </c>
      <c r="D38" s="315">
        <v>0</v>
      </c>
      <c r="E38" s="315">
        <v>775000</v>
      </c>
      <c r="F38" s="315">
        <v>775000</v>
      </c>
      <c r="G38" s="315">
        <f t="shared" si="2"/>
        <v>0</v>
      </c>
      <c r="H38" s="315">
        <v>0</v>
      </c>
      <c r="I38" s="315">
        <v>0</v>
      </c>
      <c r="J38" s="547">
        <v>0</v>
      </c>
      <c r="K38" s="547">
        <v>0</v>
      </c>
      <c r="L38" s="547">
        <v>0</v>
      </c>
      <c r="M38" s="469"/>
      <c r="N38" s="550"/>
      <c r="O38" s="550"/>
      <c r="P38" s="550"/>
      <c r="Q38" s="550"/>
      <c r="R38" s="550"/>
    </row>
    <row r="39" spans="2:22" s="549" customFormat="1" x14ac:dyDescent="0.25">
      <c r="B39" s="321" t="s">
        <v>132</v>
      </c>
      <c r="C39" s="402">
        <v>43748</v>
      </c>
      <c r="D39" s="315">
        <v>0</v>
      </c>
      <c r="E39" s="315">
        <v>60000</v>
      </c>
      <c r="F39" s="315">
        <v>60000</v>
      </c>
      <c r="G39" s="315">
        <f t="shared" si="2"/>
        <v>0</v>
      </c>
      <c r="H39" s="315">
        <v>0</v>
      </c>
      <c r="I39" s="315">
        <v>0</v>
      </c>
      <c r="J39" s="547">
        <v>0</v>
      </c>
      <c r="K39" s="547">
        <v>0</v>
      </c>
      <c r="L39" s="547">
        <v>0</v>
      </c>
      <c r="M39" s="469"/>
      <c r="N39" s="550"/>
      <c r="O39" s="550"/>
      <c r="P39" s="550"/>
      <c r="Q39" s="550"/>
      <c r="R39" s="550"/>
    </row>
    <row r="40" spans="2:22" s="320" customFormat="1" x14ac:dyDescent="0.25">
      <c r="D40" s="315"/>
      <c r="E40" s="315"/>
      <c r="F40" s="315"/>
      <c r="G40" s="315"/>
      <c r="H40" s="315"/>
      <c r="I40" s="315"/>
      <c r="J40" s="315"/>
      <c r="K40" s="319"/>
      <c r="L40" s="319"/>
      <c r="M40" s="469"/>
      <c r="N40" s="65"/>
      <c r="O40" s="51"/>
      <c r="P40" s="51"/>
      <c r="Q40" s="65"/>
      <c r="R40" s="65"/>
      <c r="S40" s="68"/>
      <c r="T40" s="68"/>
      <c r="U40" s="68"/>
      <c r="V40" s="68"/>
    </row>
    <row r="41" spans="2:22" s="54" customFormat="1" ht="13.5" thickBot="1" x14ac:dyDescent="0.3">
      <c r="B41" s="316" t="s">
        <v>498</v>
      </c>
      <c r="D41" s="315"/>
      <c r="E41" s="315"/>
      <c r="F41" s="315"/>
      <c r="G41" s="315"/>
      <c r="H41" s="318">
        <v>0</v>
      </c>
      <c r="I41" s="318">
        <v>0</v>
      </c>
      <c r="J41" s="318">
        <f>I41-H41</f>
        <v>0</v>
      </c>
      <c r="K41" s="317"/>
      <c r="L41" s="317"/>
      <c r="M41" s="395"/>
      <c r="N41" s="65"/>
      <c r="O41" s="51"/>
      <c r="P41" s="51"/>
      <c r="Q41" s="51"/>
      <c r="R41" s="51"/>
    </row>
    <row r="42" spans="2:22" s="54" customFormat="1" ht="13.5" thickTop="1" x14ac:dyDescent="0.25">
      <c r="B42" s="316"/>
      <c r="D42" s="315"/>
      <c r="E42" s="315"/>
      <c r="F42" s="315"/>
      <c r="G42" s="315"/>
      <c r="H42" s="315"/>
      <c r="I42" s="315"/>
      <c r="J42" s="315"/>
      <c r="K42" s="313"/>
      <c r="L42" s="313"/>
      <c r="M42" s="395"/>
      <c r="N42" s="51"/>
      <c r="O42" s="51"/>
      <c r="P42" s="51"/>
      <c r="Q42" s="51"/>
      <c r="R42" s="51"/>
    </row>
    <row r="43" spans="2:22" s="54" customFormat="1" ht="13.5" thickBot="1" x14ac:dyDescent="0.3">
      <c r="B43" s="316" t="s">
        <v>462</v>
      </c>
      <c r="D43" s="315"/>
      <c r="E43" s="315"/>
      <c r="F43" s="315"/>
      <c r="G43" s="315"/>
      <c r="H43" s="314">
        <v>0</v>
      </c>
      <c r="I43" s="314">
        <v>0</v>
      </c>
      <c r="J43" s="314">
        <v>0</v>
      </c>
      <c r="K43" s="313"/>
      <c r="L43" s="313"/>
      <c r="M43" s="395"/>
      <c r="N43" s="51"/>
      <c r="O43" s="51"/>
      <c r="P43" s="51"/>
      <c r="Q43" s="51"/>
      <c r="R43" s="51"/>
    </row>
    <row r="44" spans="2:22" s="54" customFormat="1" ht="13.5" thickTop="1" x14ac:dyDescent="0.25">
      <c r="B44" s="51"/>
      <c r="C44" s="51"/>
      <c r="D44" s="65"/>
      <c r="E44" s="65"/>
      <c r="F44" s="65"/>
      <c r="G44" s="65"/>
      <c r="H44" s="65"/>
      <c r="I44" s="65"/>
      <c r="J44" s="65"/>
      <c r="K44" s="313"/>
      <c r="L44" s="313"/>
      <c r="M44" s="395"/>
      <c r="N44" s="51"/>
      <c r="O44" s="51"/>
      <c r="P44" s="51"/>
      <c r="Q44" s="51"/>
      <c r="R44" s="51"/>
    </row>
    <row r="45" spans="2:22" ht="12.75" customHeight="1" x14ac:dyDescent="0.25"/>
  </sheetData>
  <mergeCells count="5">
    <mergeCell ref="K7:L7"/>
    <mergeCell ref="D7:J7"/>
    <mergeCell ref="K4:L5"/>
    <mergeCell ref="H4:J5"/>
    <mergeCell ref="D4:G5"/>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C1:R18"/>
  <sheetViews>
    <sheetView workbookViewId="0">
      <selection activeCell="M27" sqref="M27"/>
    </sheetView>
  </sheetViews>
  <sheetFormatPr defaultRowHeight="15.75" x14ac:dyDescent="0.25"/>
  <cols>
    <col min="4" max="4" width="9.875" bestFit="1" customWidth="1"/>
  </cols>
  <sheetData>
    <row r="1" spans="3:18" x14ac:dyDescent="0.25">
      <c r="D1" s="403"/>
    </row>
    <row r="2" spans="3:18" x14ac:dyDescent="0.25">
      <c r="C2" t="s">
        <v>167</v>
      </c>
      <c r="D2" t="s">
        <v>182</v>
      </c>
      <c r="E2" t="s">
        <v>168</v>
      </c>
      <c r="F2" t="s">
        <v>169</v>
      </c>
      <c r="G2" t="s">
        <v>170</v>
      </c>
      <c r="H2" t="s">
        <v>171</v>
      </c>
      <c r="I2" t="s">
        <v>172</v>
      </c>
      <c r="J2" t="s">
        <v>173</v>
      </c>
      <c r="K2" t="s">
        <v>174</v>
      </c>
      <c r="L2" t="s">
        <v>175</v>
      </c>
      <c r="M2" t="s">
        <v>176</v>
      </c>
      <c r="N2" t="s">
        <v>177</v>
      </c>
      <c r="O2" t="s">
        <v>178</v>
      </c>
      <c r="P2" t="s">
        <v>179</v>
      </c>
      <c r="Q2" t="s">
        <v>180</v>
      </c>
      <c r="R2" t="s">
        <v>181</v>
      </c>
    </row>
    <row r="3" spans="3:18" x14ac:dyDescent="0.25">
      <c r="C3" t="s">
        <v>155</v>
      </c>
      <c r="D3" s="403">
        <v>43664</v>
      </c>
      <c r="E3" t="s">
        <v>159</v>
      </c>
      <c r="F3">
        <v>43664</v>
      </c>
      <c r="G3">
        <v>43664</v>
      </c>
      <c r="H3">
        <v>43664</v>
      </c>
      <c r="I3">
        <v>43748</v>
      </c>
      <c r="J3">
        <v>84</v>
      </c>
      <c r="K3">
        <v>84</v>
      </c>
      <c r="L3">
        <v>96.993499999999997</v>
      </c>
      <c r="M3">
        <v>164888950</v>
      </c>
      <c r="N3">
        <v>170000000</v>
      </c>
      <c r="O3">
        <v>5111050</v>
      </c>
      <c r="P3">
        <v>0.13468900836997669</v>
      </c>
      <c r="Q3">
        <v>96.993499999999997</v>
      </c>
      <c r="R3">
        <v>0</v>
      </c>
    </row>
    <row r="4" spans="3:18" x14ac:dyDescent="0.25">
      <c r="C4" t="s">
        <v>156</v>
      </c>
      <c r="D4" s="403" t="str">
        <f>VLOOKUP(C4,[5]Sheet1!B$4:H$28,7,FALSE)</f>
        <v>18/07/19</v>
      </c>
      <c r="E4" t="s">
        <v>160</v>
      </c>
      <c r="F4">
        <v>43713</v>
      </c>
      <c r="G4">
        <v>43664</v>
      </c>
      <c r="H4">
        <v>43669</v>
      </c>
      <c r="I4">
        <v>43748</v>
      </c>
      <c r="J4">
        <v>79</v>
      </c>
      <c r="K4">
        <v>35</v>
      </c>
      <c r="L4">
        <v>97.169399999999996</v>
      </c>
      <c r="M4">
        <v>97169400</v>
      </c>
      <c r="N4">
        <v>100000000</v>
      </c>
      <c r="O4">
        <v>2830600</v>
      </c>
      <c r="P4">
        <v>0.13459060782092858</v>
      </c>
      <c r="Q4">
        <v>98.725849254633843</v>
      </c>
      <c r="R4">
        <v>1556449.2546338472</v>
      </c>
    </row>
    <row r="5" spans="3:18" x14ac:dyDescent="0.25">
      <c r="C5" t="s">
        <v>156</v>
      </c>
      <c r="D5" s="403" t="str">
        <f>VLOOKUP(C5,[5]Sheet1!B$4:H$28,7,FALSE)</f>
        <v>18/07/19</v>
      </c>
      <c r="E5" t="s">
        <v>161</v>
      </c>
      <c r="F5">
        <v>43735</v>
      </c>
      <c r="G5">
        <v>43664</v>
      </c>
      <c r="H5">
        <v>43669</v>
      </c>
      <c r="I5">
        <v>43748</v>
      </c>
      <c r="J5">
        <v>79</v>
      </c>
      <c r="K5">
        <v>13</v>
      </c>
      <c r="L5">
        <v>97.169399999999996</v>
      </c>
      <c r="M5">
        <v>58301640</v>
      </c>
      <c r="N5">
        <v>60000000</v>
      </c>
      <c r="O5">
        <v>1698360</v>
      </c>
      <c r="P5">
        <v>0.13459060782092858</v>
      </c>
      <c r="Q5">
        <v>99.52292312520008</v>
      </c>
      <c r="R5">
        <v>1412113.8751200505</v>
      </c>
    </row>
    <row r="6" spans="3:18" x14ac:dyDescent="0.25">
      <c r="C6" t="s">
        <v>157</v>
      </c>
      <c r="D6" s="403" t="str">
        <f>VLOOKUP(C6,[5]Sheet1!B$4:H$28,7,FALSE)</f>
        <v>07/11/19</v>
      </c>
      <c r="E6" t="s">
        <v>162</v>
      </c>
      <c r="F6">
        <v>43796</v>
      </c>
      <c r="G6">
        <v>43776</v>
      </c>
      <c r="H6">
        <v>43776</v>
      </c>
      <c r="I6">
        <v>43958</v>
      </c>
      <c r="J6">
        <v>182</v>
      </c>
      <c r="K6">
        <v>162</v>
      </c>
      <c r="L6">
        <v>93.820300000000003</v>
      </c>
      <c r="M6">
        <v>469101500</v>
      </c>
      <c r="N6">
        <v>500000000</v>
      </c>
      <c r="O6">
        <v>30898500</v>
      </c>
      <c r="P6">
        <v>0.13209672528871041</v>
      </c>
      <c r="Q6">
        <v>94.461778519468965</v>
      </c>
      <c r="R6">
        <v>3207392.5973448069</v>
      </c>
    </row>
    <row r="7" spans="3:18" x14ac:dyDescent="0.25">
      <c r="C7" t="s">
        <v>158</v>
      </c>
      <c r="D7" s="403" t="str">
        <f>VLOOKUP(C7,[5]Sheet1!B$4:H$28,7,FALSE)</f>
        <v>10/10/19</v>
      </c>
      <c r="E7" t="s">
        <v>163</v>
      </c>
      <c r="F7">
        <v>43829</v>
      </c>
      <c r="G7">
        <v>43748</v>
      </c>
      <c r="H7">
        <v>43748</v>
      </c>
      <c r="I7">
        <v>43832</v>
      </c>
      <c r="J7">
        <v>84</v>
      </c>
      <c r="K7">
        <v>3</v>
      </c>
      <c r="L7">
        <v>96.956699999999998</v>
      </c>
      <c r="M7">
        <v>484783500</v>
      </c>
      <c r="N7">
        <v>500000000</v>
      </c>
      <c r="O7">
        <v>15216500</v>
      </c>
      <c r="P7">
        <v>0.13638936860720399</v>
      </c>
      <c r="Q7">
        <v>99.888024674382805</v>
      </c>
      <c r="R7">
        <v>14656623.371914037</v>
      </c>
    </row>
    <row r="8" spans="3:18" x14ac:dyDescent="0.25">
      <c r="C8" t="s">
        <v>183</v>
      </c>
      <c r="D8" s="403" t="str">
        <f>VLOOKUP(C8,[5]Sheet1!B$4:H$28,7,FALSE)</f>
        <v>10/10/19</v>
      </c>
      <c r="E8" t="s">
        <v>163</v>
      </c>
      <c r="F8">
        <v>43829</v>
      </c>
      <c r="G8">
        <v>43748</v>
      </c>
      <c r="H8">
        <v>43749</v>
      </c>
      <c r="I8">
        <v>43832</v>
      </c>
      <c r="J8">
        <v>83</v>
      </c>
      <c r="K8">
        <v>3</v>
      </c>
      <c r="L8">
        <v>97.010900000000007</v>
      </c>
      <c r="M8">
        <v>485054500</v>
      </c>
      <c r="N8">
        <v>500000000</v>
      </c>
      <c r="O8">
        <v>14945500</v>
      </c>
      <c r="P8">
        <v>0.13549856098023613</v>
      </c>
      <c r="Q8">
        <v>99.888755211594983</v>
      </c>
      <c r="R8">
        <v>14389276.057974882</v>
      </c>
    </row>
    <row r="9" spans="3:18" x14ac:dyDescent="0.25">
      <c r="C9" t="s">
        <v>184</v>
      </c>
      <c r="D9" s="403" t="str">
        <f>VLOOKUP(C9,[5]Sheet1!B$4:H$28,7,FALSE)</f>
        <v>24/10/19</v>
      </c>
      <c r="E9" t="s">
        <v>164</v>
      </c>
      <c r="F9">
        <v>43826</v>
      </c>
      <c r="G9">
        <v>43762</v>
      </c>
      <c r="H9">
        <v>43762</v>
      </c>
      <c r="I9">
        <v>43846</v>
      </c>
      <c r="J9">
        <v>84</v>
      </c>
      <c r="K9">
        <v>20</v>
      </c>
      <c r="L9">
        <v>97.040800000000004</v>
      </c>
      <c r="M9">
        <v>485204000</v>
      </c>
      <c r="N9">
        <v>500000000</v>
      </c>
      <c r="O9">
        <v>14796000</v>
      </c>
      <c r="P9">
        <v>0.1325053850692551</v>
      </c>
      <c r="Q9">
        <v>99.279176682973386</v>
      </c>
      <c r="R9">
        <v>11191883.414866908</v>
      </c>
    </row>
    <row r="10" spans="3:18" x14ac:dyDescent="0.25">
      <c r="C10" t="s">
        <v>185</v>
      </c>
      <c r="D10" s="403" t="str">
        <f>VLOOKUP(C10,[5]Sheet1!B$4:H$28,7,FALSE)</f>
        <v>24/10/19</v>
      </c>
      <c r="E10" t="s">
        <v>164</v>
      </c>
      <c r="F10">
        <v>43826</v>
      </c>
      <c r="G10">
        <v>43762</v>
      </c>
      <c r="H10">
        <v>43762</v>
      </c>
      <c r="I10">
        <v>43846</v>
      </c>
      <c r="J10">
        <v>84</v>
      </c>
      <c r="K10">
        <v>20</v>
      </c>
      <c r="L10">
        <v>97.041399999999996</v>
      </c>
      <c r="M10">
        <v>970414000</v>
      </c>
      <c r="N10">
        <v>1000000000</v>
      </c>
      <c r="O10">
        <v>29586000</v>
      </c>
      <c r="P10">
        <v>0.13247769950321645</v>
      </c>
      <c r="Q10">
        <v>99.279326205809582</v>
      </c>
      <c r="R10">
        <v>22379262.058095861</v>
      </c>
    </row>
    <row r="11" spans="3:18" x14ac:dyDescent="0.25">
      <c r="C11" t="s">
        <v>186</v>
      </c>
      <c r="D11" s="403" t="str">
        <f>VLOOKUP(C11,[5]Sheet1!B$4:H$28,7,FALSE)</f>
        <v>07/11/19</v>
      </c>
      <c r="E11" t="s">
        <v>165</v>
      </c>
      <c r="F11">
        <v>43826</v>
      </c>
      <c r="G11">
        <v>43776</v>
      </c>
      <c r="H11">
        <v>43776</v>
      </c>
      <c r="I11">
        <v>43860</v>
      </c>
      <c r="J11">
        <v>84</v>
      </c>
      <c r="K11">
        <v>34</v>
      </c>
      <c r="L11">
        <v>97.058199999999999</v>
      </c>
      <c r="M11">
        <v>485291000</v>
      </c>
      <c r="N11">
        <v>500000000</v>
      </c>
      <c r="O11">
        <v>14709000</v>
      </c>
      <c r="P11">
        <v>0.13170264262650067</v>
      </c>
      <c r="Q11">
        <v>98.788049306244702</v>
      </c>
      <c r="R11">
        <v>8649246.5312235113</v>
      </c>
    </row>
    <row r="12" spans="3:18" x14ac:dyDescent="0.25">
      <c r="C12" t="s">
        <v>187</v>
      </c>
      <c r="D12" s="403" t="str">
        <f>VLOOKUP(C12,[5]Sheet1!B$4:H$28,7,FALSE)</f>
        <v>07/11/19</v>
      </c>
      <c r="E12" t="s">
        <v>165</v>
      </c>
      <c r="F12">
        <v>43826</v>
      </c>
      <c r="G12">
        <v>43776</v>
      </c>
      <c r="H12">
        <v>43776</v>
      </c>
      <c r="I12">
        <v>43860</v>
      </c>
      <c r="J12">
        <v>84</v>
      </c>
      <c r="K12">
        <v>34</v>
      </c>
      <c r="L12">
        <v>97.041399999999996</v>
      </c>
      <c r="M12">
        <v>388165600</v>
      </c>
      <c r="N12">
        <v>400000000</v>
      </c>
      <c r="O12">
        <v>11834400</v>
      </c>
      <c r="P12">
        <v>0.13247769950321645</v>
      </c>
      <c r="Q12">
        <v>98.78100403898658</v>
      </c>
      <c r="R12">
        <v>6958416.1559463385</v>
      </c>
    </row>
    <row r="13" spans="3:18" x14ac:dyDescent="0.25">
      <c r="C13" t="s">
        <v>188</v>
      </c>
      <c r="D13" s="403" t="str">
        <f>VLOOKUP(C13,[5]Sheet1!B$4:H$28,7,FALSE)</f>
        <v>07/11/19</v>
      </c>
      <c r="E13" t="s">
        <v>165</v>
      </c>
      <c r="F13">
        <v>43826</v>
      </c>
      <c r="G13">
        <v>43776</v>
      </c>
      <c r="H13">
        <v>43781</v>
      </c>
      <c r="I13">
        <v>43860</v>
      </c>
      <c r="J13">
        <v>79</v>
      </c>
      <c r="K13">
        <v>34</v>
      </c>
      <c r="L13">
        <v>97.209100000000007</v>
      </c>
      <c r="M13">
        <v>48604550</v>
      </c>
      <c r="N13">
        <v>50000000</v>
      </c>
      <c r="O13">
        <v>1395450</v>
      </c>
      <c r="P13">
        <v>0.13264873923287043</v>
      </c>
      <c r="Q13">
        <v>98.779449423136256</v>
      </c>
      <c r="R13">
        <v>785174.71156812494</v>
      </c>
    </row>
    <row r="14" spans="3:18" x14ac:dyDescent="0.25">
      <c r="C14" t="s">
        <v>189</v>
      </c>
      <c r="D14" s="403" t="str">
        <f>VLOOKUP(C14,[5]Sheet1!B$4:H$28,7,FALSE)</f>
        <v>10/10/19</v>
      </c>
      <c r="E14" t="s">
        <v>166</v>
      </c>
      <c r="F14">
        <v>43825</v>
      </c>
      <c r="G14">
        <v>43797</v>
      </c>
      <c r="H14">
        <v>43797</v>
      </c>
      <c r="I14">
        <v>43832</v>
      </c>
      <c r="J14">
        <v>35</v>
      </c>
      <c r="K14">
        <v>7</v>
      </c>
      <c r="L14">
        <v>98.733199999999997</v>
      </c>
      <c r="M14">
        <v>98733200</v>
      </c>
      <c r="N14">
        <v>100000000</v>
      </c>
      <c r="O14">
        <v>1266800</v>
      </c>
      <c r="P14">
        <v>0.13380417413508613</v>
      </c>
      <c r="Q14">
        <v>99.744046060394453</v>
      </c>
      <c r="R14">
        <v>1010846.0603944564</v>
      </c>
    </row>
    <row r="15" spans="3:18" x14ac:dyDescent="0.25">
      <c r="C15" t="s">
        <v>189</v>
      </c>
      <c r="D15" s="403" t="str">
        <f>VLOOKUP(C15,[5]Sheet1!B$4:H$28,7,FALSE)</f>
        <v>10/10/19</v>
      </c>
      <c r="E15" t="s">
        <v>163</v>
      </c>
      <c r="F15">
        <v>43829</v>
      </c>
      <c r="G15">
        <v>43797</v>
      </c>
      <c r="H15">
        <v>43797</v>
      </c>
      <c r="I15">
        <v>43832</v>
      </c>
      <c r="J15">
        <v>35</v>
      </c>
      <c r="K15">
        <v>3</v>
      </c>
      <c r="L15">
        <v>98.733199999999997</v>
      </c>
      <c r="M15">
        <v>197466400</v>
      </c>
      <c r="N15">
        <v>200000000</v>
      </c>
      <c r="O15">
        <v>2533600</v>
      </c>
      <c r="P15">
        <v>0.13380417413508613</v>
      </c>
      <c r="Q15">
        <v>99.890144780876938</v>
      </c>
      <c r="R15">
        <v>2313889.5617538821</v>
      </c>
    </row>
    <row r="16" spans="3:18" x14ac:dyDescent="0.25">
      <c r="C16" t="s">
        <v>190</v>
      </c>
      <c r="D16" s="403" t="str">
        <f>VLOOKUP(C16,[5]Sheet1!B$4:H$28,7,FALSE)</f>
        <v>07/11/19</v>
      </c>
      <c r="E16" t="s">
        <v>165</v>
      </c>
      <c r="F16">
        <v>43826</v>
      </c>
      <c r="G16">
        <v>43782</v>
      </c>
      <c r="H16">
        <v>43782</v>
      </c>
      <c r="I16">
        <v>43860</v>
      </c>
      <c r="J16">
        <v>78</v>
      </c>
      <c r="K16">
        <v>34</v>
      </c>
      <c r="L16">
        <v>97.232299999999995</v>
      </c>
      <c r="M16">
        <v>194464600</v>
      </c>
      <c r="N16">
        <v>200000000</v>
      </c>
      <c r="O16">
        <v>5535400</v>
      </c>
      <c r="P16">
        <v>0.13320076421792623</v>
      </c>
      <c r="Q16">
        <v>98.774432286478017</v>
      </c>
      <c r="R16">
        <v>3084264.5729560447</v>
      </c>
    </row>
    <row r="17" spans="3:18" x14ac:dyDescent="0.25">
      <c r="C17" t="s">
        <v>191</v>
      </c>
      <c r="D17" s="403" t="str">
        <f>VLOOKUP(C17,[5]Sheet1!B$4:H$28,7,FALSE)</f>
        <v>24/10/19</v>
      </c>
      <c r="E17" t="s">
        <v>164</v>
      </c>
      <c r="F17">
        <v>43826</v>
      </c>
      <c r="G17">
        <v>43803</v>
      </c>
      <c r="H17">
        <v>43804</v>
      </c>
      <c r="I17">
        <v>43846</v>
      </c>
      <c r="J17">
        <v>42</v>
      </c>
      <c r="K17">
        <v>20</v>
      </c>
      <c r="L17">
        <v>98.480400000000003</v>
      </c>
      <c r="M17">
        <v>196960800</v>
      </c>
      <c r="N17">
        <v>200000000</v>
      </c>
      <c r="O17">
        <v>3039200</v>
      </c>
      <c r="P17">
        <v>0.13409823293820516</v>
      </c>
      <c r="Q17">
        <v>99.270574867262482</v>
      </c>
      <c r="R17">
        <v>1580349.7345249581</v>
      </c>
    </row>
    <row r="18" spans="3:18" x14ac:dyDescent="0.25">
      <c r="C18" t="s">
        <v>192</v>
      </c>
      <c r="D18" s="403" t="e">
        <f>VLOOKUP(C18,[5]Sheet1!B$4:H$28,7,FALSE)</f>
        <v>#N/A</v>
      </c>
      <c r="E18" t="s">
        <v>163</v>
      </c>
      <c r="F18">
        <v>43829</v>
      </c>
      <c r="G18">
        <v>43819</v>
      </c>
      <c r="H18">
        <v>43819</v>
      </c>
      <c r="I18">
        <v>43832</v>
      </c>
      <c r="J18">
        <v>13</v>
      </c>
      <c r="K18">
        <v>3</v>
      </c>
      <c r="L18">
        <v>99.527500000000003</v>
      </c>
      <c r="M18">
        <v>323464375</v>
      </c>
      <c r="N18">
        <v>325000000</v>
      </c>
      <c r="O18">
        <v>1535625</v>
      </c>
      <c r="P18">
        <v>0.13329327224984205</v>
      </c>
      <c r="Q18">
        <v>99.890563779892304</v>
      </c>
      <c r="R18">
        <v>1179957.2846499763</v>
      </c>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85"/>
  <sheetViews>
    <sheetView view="pageBreakPreview" topLeftCell="A67" zoomScaleNormal="100" zoomScaleSheetLayoutView="100" workbookViewId="0">
      <selection activeCell="E17" sqref="E17"/>
    </sheetView>
  </sheetViews>
  <sheetFormatPr defaultColWidth="9" defaultRowHeight="12" x14ac:dyDescent="0.2"/>
  <cols>
    <col min="1" max="1" width="5.125" style="48" customWidth="1"/>
    <col min="2" max="2" width="2.375" style="48" customWidth="1"/>
    <col min="3" max="3" width="33.875" style="48" customWidth="1"/>
    <col min="4" max="4" width="4" style="48" bestFit="1" customWidth="1"/>
    <col min="5" max="5" width="9.125" style="591" customWidth="1"/>
    <col min="6" max="6" width="0.875" style="48" customWidth="1"/>
    <col min="7" max="7" width="9.125" style="591" customWidth="1"/>
    <col min="8" max="8" width="0.875" style="48" customWidth="1"/>
    <col min="9" max="9" width="9.125" style="48" customWidth="1"/>
    <col min="10" max="10" width="0.875" style="48" customWidth="1"/>
    <col min="11" max="11" width="9.125" style="235" customWidth="1"/>
    <col min="12" max="12" width="19.625" style="48" bestFit="1" customWidth="1"/>
    <col min="13" max="14" width="9" style="48"/>
    <col min="15" max="15" width="9" style="94"/>
    <col min="16" max="16" width="9" style="450"/>
    <col min="17" max="17" width="9" style="48"/>
    <col min="18" max="18" width="9.125" style="48" bestFit="1" customWidth="1"/>
    <col min="19" max="19" width="9.625" style="48" bestFit="1" customWidth="1"/>
    <col min="20" max="16384" width="9" style="48"/>
  </cols>
  <sheetData>
    <row r="1" spans="1:16" s="1" customFormat="1" x14ac:dyDescent="0.2">
      <c r="A1" s="45" t="s">
        <v>23</v>
      </c>
      <c r="B1" s="45"/>
      <c r="C1" s="45"/>
      <c r="D1" s="45"/>
      <c r="E1" s="275"/>
      <c r="F1" s="275"/>
      <c r="G1" s="275"/>
      <c r="H1" s="235"/>
      <c r="I1" s="235"/>
      <c r="J1" s="235"/>
      <c r="K1" s="235"/>
      <c r="O1" s="5"/>
      <c r="P1" s="446"/>
    </row>
    <row r="2" spans="1:16" s="1" customFormat="1" x14ac:dyDescent="0.2">
      <c r="A2" s="43" t="s">
        <v>51</v>
      </c>
      <c r="B2" s="43"/>
      <c r="C2" s="43"/>
      <c r="D2" s="43"/>
      <c r="E2" s="312"/>
      <c r="F2" s="312"/>
      <c r="G2" s="312"/>
      <c r="H2" s="235"/>
      <c r="I2" s="235"/>
      <c r="J2" s="235"/>
      <c r="K2" s="235"/>
      <c r="O2" s="5"/>
      <c r="P2" s="446"/>
    </row>
    <row r="3" spans="1:16" s="1" customFormat="1" x14ac:dyDescent="0.2">
      <c r="A3" s="87" t="s">
        <v>530</v>
      </c>
      <c r="B3" s="87"/>
      <c r="C3" s="87"/>
      <c r="D3" s="87"/>
      <c r="E3" s="87"/>
      <c r="F3" s="87"/>
      <c r="G3" s="87"/>
      <c r="H3" s="235"/>
      <c r="I3" s="235"/>
      <c r="J3" s="235"/>
      <c r="K3" s="235"/>
      <c r="O3" s="5"/>
      <c r="P3" s="446"/>
    </row>
    <row r="4" spans="1:16" s="1" customFormat="1" x14ac:dyDescent="0.2">
      <c r="E4" s="528"/>
      <c r="F4" s="555"/>
      <c r="G4" s="555"/>
      <c r="H4" s="235"/>
      <c r="I4" s="235"/>
      <c r="J4" s="235"/>
      <c r="K4" s="616"/>
      <c r="O4" s="5"/>
      <c r="P4" s="446"/>
    </row>
    <row r="5" spans="1:16" s="54" customFormat="1" x14ac:dyDescent="0.2">
      <c r="E5" s="725" t="s">
        <v>507</v>
      </c>
      <c r="F5" s="725"/>
      <c r="G5" s="725"/>
      <c r="H5" s="329"/>
      <c r="I5" s="725" t="s">
        <v>50</v>
      </c>
      <c r="J5" s="725"/>
      <c r="K5" s="725"/>
      <c r="M5" s="405"/>
      <c r="O5" s="68"/>
      <c r="P5" s="448"/>
    </row>
    <row r="6" spans="1:16" s="54" customFormat="1" ht="11.25" x14ac:dyDescent="0.2">
      <c r="E6" s="726" t="str">
        <f>+SAL!F5</f>
        <v>March 31,</v>
      </c>
      <c r="F6" s="726"/>
      <c r="G6" s="726"/>
      <c r="H6" s="329"/>
      <c r="I6" s="726" t="s">
        <v>491</v>
      </c>
      <c r="J6" s="726"/>
      <c r="K6" s="726"/>
      <c r="O6" s="422"/>
      <c r="P6" s="448"/>
    </row>
    <row r="7" spans="1:16" s="54" customFormat="1" ht="11.25" x14ac:dyDescent="0.2">
      <c r="D7" s="86"/>
      <c r="E7" s="84">
        <v>2022</v>
      </c>
      <c r="F7" s="84">
        <v>2020</v>
      </c>
      <c r="G7" s="84">
        <v>2021</v>
      </c>
      <c r="H7" s="329"/>
      <c r="I7" s="84">
        <v>2022</v>
      </c>
      <c r="J7" s="85"/>
      <c r="K7" s="84">
        <v>2021</v>
      </c>
      <c r="M7" s="84"/>
      <c r="O7" s="68"/>
      <c r="P7" s="448"/>
    </row>
    <row r="8" spans="1:16" s="54" customFormat="1" ht="11.25" x14ac:dyDescent="0.2">
      <c r="D8" s="83" t="s">
        <v>18</v>
      </c>
      <c r="E8" s="727" t="s">
        <v>419</v>
      </c>
      <c r="F8" s="727"/>
      <c r="G8" s="727"/>
      <c r="H8" s="727"/>
      <c r="I8" s="727"/>
      <c r="J8" s="727"/>
      <c r="K8" s="727"/>
      <c r="M8" s="401"/>
      <c r="N8" s="401"/>
      <c r="O8" s="447"/>
      <c r="P8" s="448"/>
    </row>
    <row r="9" spans="1:16" s="54" customFormat="1" ht="11.25" x14ac:dyDescent="0.2">
      <c r="A9" s="71" t="s">
        <v>49</v>
      </c>
      <c r="E9" s="350"/>
      <c r="F9" s="549"/>
      <c r="G9" s="549"/>
      <c r="H9" s="329"/>
      <c r="I9" s="329"/>
      <c r="J9" s="329"/>
      <c r="K9" s="329"/>
      <c r="M9" s="592">
        <v>44531</v>
      </c>
      <c r="O9" s="68"/>
      <c r="P9" s="448"/>
    </row>
    <row r="10" spans="1:16" s="54" customFormat="1" ht="11.25" x14ac:dyDescent="0.2">
      <c r="A10" s="493" t="s">
        <v>383</v>
      </c>
      <c r="E10" s="79">
        <f>-TB!$M$96</f>
        <v>147639</v>
      </c>
      <c r="F10" s="68"/>
      <c r="G10" s="79">
        <v>77745</v>
      </c>
      <c r="H10" s="68"/>
      <c r="I10" s="79">
        <f t="shared" ref="I10:I11" si="0">E10-M10</f>
        <v>91717</v>
      </c>
      <c r="J10" s="329"/>
      <c r="K10" s="79">
        <v>30134</v>
      </c>
      <c r="M10" s="79">
        <v>55922</v>
      </c>
      <c r="O10" s="68" t="s">
        <v>493</v>
      </c>
      <c r="P10" s="448"/>
    </row>
    <row r="11" spans="1:16" s="54" customFormat="1" ht="15" hidden="1" customHeight="1" x14ac:dyDescent="0.2">
      <c r="A11" s="54" t="s">
        <v>47</v>
      </c>
      <c r="E11" s="74"/>
      <c r="F11" s="68"/>
      <c r="G11" s="74"/>
      <c r="H11" s="68"/>
      <c r="I11" s="74">
        <f t="shared" si="0"/>
        <v>0</v>
      </c>
      <c r="J11" s="329"/>
      <c r="K11" s="74">
        <v>0</v>
      </c>
      <c r="M11" s="74"/>
      <c r="O11" s="68"/>
      <c r="P11" s="448"/>
    </row>
    <row r="12" spans="1:16" s="54" customFormat="1" ht="15" hidden="1" customHeight="1" x14ac:dyDescent="0.2">
      <c r="A12" s="81" t="s">
        <v>46</v>
      </c>
      <c r="D12" s="66"/>
      <c r="E12" s="74"/>
      <c r="F12" s="68"/>
      <c r="G12" s="74"/>
      <c r="H12" s="68"/>
      <c r="I12" s="74"/>
      <c r="J12" s="329"/>
      <c r="K12" s="74"/>
      <c r="M12" s="74"/>
      <c r="O12" s="68"/>
      <c r="P12" s="448"/>
    </row>
    <row r="13" spans="1:16" s="54" customFormat="1" ht="15" hidden="1" customHeight="1" x14ac:dyDescent="0.2">
      <c r="A13" s="82" t="s">
        <v>45</v>
      </c>
      <c r="D13" s="66"/>
      <c r="E13" s="74"/>
      <c r="F13" s="68"/>
      <c r="G13" s="74"/>
      <c r="H13" s="68"/>
      <c r="I13" s="74"/>
      <c r="J13" s="329"/>
      <c r="K13" s="74"/>
      <c r="M13" s="74"/>
      <c r="O13" s="68"/>
      <c r="P13" s="448"/>
    </row>
    <row r="14" spans="1:16" s="320" customFormat="1" ht="11.25" customHeight="1" x14ac:dyDescent="0.2">
      <c r="A14" s="493" t="s">
        <v>396</v>
      </c>
      <c r="D14" s="66"/>
      <c r="E14" s="74">
        <f>-TB!$O$90</f>
        <v>343357</v>
      </c>
      <c r="F14" s="68"/>
      <c r="G14" s="74">
        <v>54106</v>
      </c>
      <c r="H14" s="68"/>
      <c r="I14" s="74">
        <f t="shared" ref="I14" si="1">E14-M14</f>
        <v>122249</v>
      </c>
      <c r="J14" s="329"/>
      <c r="K14" s="74">
        <v>24767</v>
      </c>
      <c r="M14" s="74">
        <v>221108</v>
      </c>
      <c r="O14" s="68"/>
      <c r="P14" s="448"/>
    </row>
    <row r="15" spans="1:16" s="54" customFormat="1" x14ac:dyDescent="0.2">
      <c r="A15" s="493" t="s">
        <v>481</v>
      </c>
      <c r="E15" s="74">
        <f>-TB!$M$80+TB!L81</f>
        <v>7946</v>
      </c>
      <c r="F15" s="68"/>
      <c r="G15" s="603">
        <v>-1386</v>
      </c>
      <c r="H15" s="68"/>
      <c r="I15" s="74">
        <f>E15-M15</f>
        <v>-733</v>
      </c>
      <c r="J15" s="329"/>
      <c r="K15" s="74">
        <v>559</v>
      </c>
      <c r="M15" s="74">
        <v>8679</v>
      </c>
      <c r="O15" s="68"/>
      <c r="P15" s="448"/>
    </row>
    <row r="16" spans="1:16" s="320" customFormat="1" ht="11.25" x14ac:dyDescent="0.2">
      <c r="A16" s="352" t="s">
        <v>473</v>
      </c>
      <c r="E16" s="74"/>
      <c r="F16" s="68"/>
      <c r="G16" s="74"/>
      <c r="H16" s="68"/>
      <c r="I16" s="74"/>
      <c r="J16" s="329"/>
      <c r="K16" s="74"/>
      <c r="M16" s="74"/>
      <c r="O16" s="68"/>
      <c r="P16" s="448"/>
    </row>
    <row r="17" spans="1:16" s="320" customFormat="1" ht="11.25" x14ac:dyDescent="0.2">
      <c r="A17" s="353" t="s">
        <v>474</v>
      </c>
      <c r="D17" s="66">
        <f>'Notes (remaining)'!$G$52</f>
        <v>5.0999999999999996</v>
      </c>
      <c r="E17" s="74">
        <v>0</v>
      </c>
      <c r="F17" s="68"/>
      <c r="G17" s="74">
        <v>0</v>
      </c>
      <c r="H17" s="68"/>
      <c r="I17" s="74">
        <f>E17-M17</f>
        <v>-858</v>
      </c>
      <c r="J17" s="329"/>
      <c r="K17" s="74">
        <v>0</v>
      </c>
      <c r="M17" s="74">
        <v>858</v>
      </c>
      <c r="O17" s="68"/>
      <c r="P17" s="448"/>
    </row>
    <row r="18" spans="1:16" s="54" customFormat="1" ht="11.25" x14ac:dyDescent="0.2">
      <c r="A18" s="551" t="s">
        <v>700</v>
      </c>
      <c r="E18" s="74">
        <f>TB!L94</f>
        <v>9912</v>
      </c>
      <c r="F18" s="68"/>
      <c r="G18" s="74">
        <v>0</v>
      </c>
      <c r="H18" s="68"/>
      <c r="I18" s="73">
        <f>E18-M18</f>
        <v>9011</v>
      </c>
      <c r="J18" s="329"/>
      <c r="K18" s="74">
        <v>0</v>
      </c>
      <c r="M18" s="73">
        <v>901</v>
      </c>
      <c r="O18" s="68"/>
      <c r="P18" s="448"/>
    </row>
    <row r="19" spans="1:16" s="54" customFormat="1" ht="15" hidden="1" customHeight="1" x14ac:dyDescent="0.2">
      <c r="A19" s="75" t="s">
        <v>44</v>
      </c>
      <c r="D19" s="66">
        <v>7.1</v>
      </c>
      <c r="E19" s="73"/>
      <c r="F19" s="68"/>
      <c r="G19" s="73"/>
      <c r="H19" s="68"/>
      <c r="I19" s="73"/>
      <c r="J19" s="329"/>
      <c r="K19" s="73"/>
      <c r="O19" s="68"/>
      <c r="P19" s="448"/>
    </row>
    <row r="20" spans="1:16" s="54" customFormat="1" ht="11.25" x14ac:dyDescent="0.2">
      <c r="A20" s="71" t="s">
        <v>40</v>
      </c>
      <c r="E20" s="67">
        <f>SUM(E10:E18)-1</f>
        <v>508853</v>
      </c>
      <c r="F20" s="68"/>
      <c r="G20" s="67">
        <f>SUM(G10:G18)</f>
        <v>130465</v>
      </c>
      <c r="H20" s="68"/>
      <c r="I20" s="67">
        <f>SUM(I10:I18)</f>
        <v>221386</v>
      </c>
      <c r="J20" s="604"/>
      <c r="K20" s="67">
        <f>SUM(K10:K18)</f>
        <v>55460</v>
      </c>
      <c r="M20" s="590">
        <f>SUM(M10:M18)</f>
        <v>287468</v>
      </c>
      <c r="O20" s="68"/>
      <c r="P20" s="448"/>
    </row>
    <row r="21" spans="1:16" s="54" customFormat="1" ht="12" hidden="1" customHeight="1" thickBot="1" x14ac:dyDescent="0.25">
      <c r="E21" s="65"/>
      <c r="F21" s="68"/>
      <c r="G21" s="65"/>
      <c r="H21" s="68"/>
      <c r="I21" s="65"/>
      <c r="J21" s="329"/>
      <c r="K21" s="65"/>
      <c r="O21" s="68"/>
      <c r="P21" s="448"/>
    </row>
    <row r="22" spans="1:16" s="54" customFormat="1" ht="15" hidden="1" customHeight="1" x14ac:dyDescent="0.2">
      <c r="A22" s="54" t="s">
        <v>43</v>
      </c>
      <c r="E22" s="65"/>
      <c r="F22" s="68"/>
      <c r="G22" s="65"/>
      <c r="H22" s="68"/>
      <c r="I22" s="65"/>
      <c r="J22" s="329"/>
      <c r="K22" s="65"/>
      <c r="O22" s="68"/>
      <c r="P22" s="448"/>
    </row>
    <row r="23" spans="1:16" s="54" customFormat="1" ht="15" hidden="1" customHeight="1" x14ac:dyDescent="0.2">
      <c r="A23" s="82" t="s">
        <v>42</v>
      </c>
      <c r="E23" s="79"/>
      <c r="F23" s="68"/>
      <c r="G23" s="79"/>
      <c r="H23" s="68"/>
      <c r="I23" s="79"/>
      <c r="J23" s="329"/>
      <c r="K23" s="79"/>
      <c r="O23" s="68"/>
      <c r="P23" s="448"/>
    </row>
    <row r="24" spans="1:16" s="54" customFormat="1" ht="15" hidden="1" customHeight="1" x14ac:dyDescent="0.2">
      <c r="A24" s="81" t="s">
        <v>41</v>
      </c>
      <c r="E24" s="73"/>
      <c r="F24" s="68"/>
      <c r="G24" s="73"/>
      <c r="H24" s="68"/>
      <c r="I24" s="73"/>
      <c r="J24" s="329"/>
      <c r="K24" s="73"/>
      <c r="O24" s="68"/>
      <c r="P24" s="448"/>
    </row>
    <row r="25" spans="1:16" s="54" customFormat="1" ht="15" hidden="1" customHeight="1" x14ac:dyDescent="0.2">
      <c r="E25" s="65"/>
      <c r="F25" s="68"/>
      <c r="G25" s="65"/>
      <c r="H25" s="68"/>
      <c r="I25" s="65"/>
      <c r="J25" s="329"/>
      <c r="K25" s="65"/>
      <c r="O25" s="68"/>
      <c r="P25" s="448"/>
    </row>
    <row r="26" spans="1:16" s="54" customFormat="1" ht="12" hidden="1" customHeight="1" x14ac:dyDescent="0.2">
      <c r="E26" s="68"/>
      <c r="F26" s="68"/>
      <c r="G26" s="68"/>
      <c r="H26" s="68"/>
      <c r="I26" s="68"/>
      <c r="J26" s="329"/>
      <c r="K26" s="68"/>
      <c r="O26" s="68"/>
      <c r="P26" s="448"/>
    </row>
    <row r="27" spans="1:16" s="54" customFormat="1" ht="15" hidden="1" customHeight="1" thickBot="1" x14ac:dyDescent="0.25">
      <c r="A27" s="71" t="s">
        <v>40</v>
      </c>
      <c r="E27" s="67"/>
      <c r="F27" s="68"/>
      <c r="G27" s="67"/>
      <c r="H27" s="68"/>
      <c r="I27" s="67"/>
      <c r="J27" s="329"/>
      <c r="K27" s="67"/>
      <c r="O27" s="68"/>
      <c r="P27" s="448"/>
    </row>
    <row r="28" spans="1:16" s="54" customFormat="1" ht="11.25" x14ac:dyDescent="0.2">
      <c r="E28" s="68"/>
      <c r="F28" s="68"/>
      <c r="G28" s="68"/>
      <c r="H28" s="68"/>
      <c r="I28" s="68"/>
      <c r="J28" s="329"/>
      <c r="K28" s="68"/>
      <c r="O28" s="68"/>
      <c r="P28" s="448"/>
    </row>
    <row r="29" spans="1:16" s="54" customFormat="1" ht="11.25" x14ac:dyDescent="0.2">
      <c r="A29" s="55" t="s">
        <v>39</v>
      </c>
      <c r="E29" s="68"/>
      <c r="F29" s="68"/>
      <c r="G29" s="68"/>
      <c r="H29" s="68"/>
      <c r="I29" s="68"/>
      <c r="J29" s="329"/>
      <c r="K29" s="68"/>
      <c r="O29" s="68"/>
      <c r="P29" s="448"/>
    </row>
    <row r="30" spans="1:16" s="54" customFormat="1" ht="11.25" x14ac:dyDescent="0.2">
      <c r="A30" s="80" t="s">
        <v>319</v>
      </c>
      <c r="D30" s="66"/>
      <c r="E30" s="79"/>
      <c r="F30" s="68"/>
      <c r="G30" s="79"/>
      <c r="H30" s="68"/>
      <c r="I30" s="79"/>
      <c r="J30" s="329"/>
      <c r="K30" s="79"/>
      <c r="M30" s="406"/>
      <c r="O30" s="68"/>
      <c r="P30" s="448"/>
    </row>
    <row r="31" spans="1:16" s="320" customFormat="1" ht="11.25" x14ac:dyDescent="0.2">
      <c r="A31" s="80" t="s">
        <v>320</v>
      </c>
      <c r="D31" s="66"/>
      <c r="E31" s="74">
        <f>TB!M104</f>
        <v>8583</v>
      </c>
      <c r="F31" s="68"/>
      <c r="G31" s="74">
        <v>2526</v>
      </c>
      <c r="H31" s="68"/>
      <c r="I31" s="74">
        <f>E31-M31</f>
        <v>2859</v>
      </c>
      <c r="J31" s="329"/>
      <c r="K31" s="74">
        <v>1290</v>
      </c>
      <c r="M31" s="74">
        <v>5724</v>
      </c>
      <c r="O31" s="68"/>
      <c r="P31" s="448"/>
    </row>
    <row r="32" spans="1:16" s="54" customFormat="1" ht="12" customHeight="1" x14ac:dyDescent="0.2">
      <c r="A32" s="78" t="s">
        <v>321</v>
      </c>
      <c r="D32" s="66"/>
      <c r="E32" s="74">
        <f>TB!M105</f>
        <v>1116</v>
      </c>
      <c r="F32" s="68"/>
      <c r="G32" s="74">
        <v>329</v>
      </c>
      <c r="H32" s="68"/>
      <c r="I32" s="74">
        <f>E32-M32</f>
        <v>372</v>
      </c>
      <c r="J32" s="329"/>
      <c r="K32" s="74">
        <v>168</v>
      </c>
      <c r="M32" s="74">
        <v>744</v>
      </c>
      <c r="O32" s="68"/>
      <c r="P32" s="448"/>
    </row>
    <row r="33" spans="1:17" s="54" customFormat="1" ht="10.5" hidden="1" customHeight="1" x14ac:dyDescent="0.2">
      <c r="A33" s="72" t="s">
        <v>38</v>
      </c>
      <c r="D33" s="66"/>
      <c r="E33" s="74"/>
      <c r="F33" s="68"/>
      <c r="G33" s="74"/>
      <c r="H33" s="68"/>
      <c r="I33" s="74"/>
      <c r="J33" s="329"/>
      <c r="K33" s="74"/>
      <c r="M33" s="74"/>
      <c r="O33" s="68"/>
      <c r="P33" s="448"/>
    </row>
    <row r="34" spans="1:17" s="320" customFormat="1" ht="11.25" x14ac:dyDescent="0.2">
      <c r="A34" s="77" t="s">
        <v>397</v>
      </c>
      <c r="D34" s="517"/>
      <c r="E34" s="74">
        <f>+TB!K110</f>
        <v>21</v>
      </c>
      <c r="F34" s="68"/>
      <c r="G34" s="74">
        <v>915</v>
      </c>
      <c r="H34" s="68"/>
      <c r="I34" s="74">
        <f t="shared" ref="I34:I40" si="2">E34-M34</f>
        <v>0</v>
      </c>
      <c r="J34" s="329"/>
      <c r="K34" s="74">
        <v>374</v>
      </c>
      <c r="M34" s="74">
        <v>21</v>
      </c>
      <c r="O34" s="68"/>
      <c r="P34" s="448"/>
    </row>
    <row r="35" spans="1:17" s="549" customFormat="1" ht="11.25" x14ac:dyDescent="0.2">
      <c r="A35" s="77" t="s">
        <v>701</v>
      </c>
      <c r="D35" s="517"/>
      <c r="E35" s="74">
        <f>+TB!K112</f>
        <v>2147</v>
      </c>
      <c r="F35" s="68"/>
      <c r="G35" s="74">
        <v>0</v>
      </c>
      <c r="H35" s="68"/>
      <c r="I35" s="74">
        <f t="shared" si="2"/>
        <v>0</v>
      </c>
      <c r="J35" s="329"/>
      <c r="K35" s="74">
        <v>0</v>
      </c>
      <c r="M35" s="74">
        <v>2147</v>
      </c>
      <c r="O35" s="68"/>
      <c r="P35" s="448"/>
    </row>
    <row r="36" spans="1:17" s="54" customFormat="1" ht="11.25" x14ac:dyDescent="0.2">
      <c r="A36" s="77" t="s">
        <v>699</v>
      </c>
      <c r="E36" s="74">
        <f>TB!M107</f>
        <v>2240</v>
      </c>
      <c r="F36" s="68"/>
      <c r="G36" s="74">
        <v>673</v>
      </c>
      <c r="H36" s="68"/>
      <c r="I36" s="74">
        <f>E36-M36</f>
        <v>973</v>
      </c>
      <c r="J36" s="329"/>
      <c r="K36" s="74">
        <v>225</v>
      </c>
      <c r="L36" s="549"/>
      <c r="M36" s="74">
        <v>1267</v>
      </c>
      <c r="O36" s="68">
        <v>46555</v>
      </c>
      <c r="P36" s="448"/>
    </row>
    <row r="37" spans="1:17" s="54" customFormat="1" ht="11.25" x14ac:dyDescent="0.2">
      <c r="A37" s="77" t="s">
        <v>322</v>
      </c>
      <c r="D37" s="66"/>
      <c r="E37" s="74">
        <f>TB!M108</f>
        <v>291</v>
      </c>
      <c r="F37" s="68"/>
      <c r="G37" s="74">
        <v>88</v>
      </c>
      <c r="H37" s="68"/>
      <c r="I37" s="74">
        <f t="shared" si="2"/>
        <v>124</v>
      </c>
      <c r="J37" s="329"/>
      <c r="K37" s="74">
        <v>29</v>
      </c>
      <c r="M37" s="74">
        <v>167</v>
      </c>
      <c r="O37" s="68">
        <v>81544</v>
      </c>
      <c r="P37" s="448"/>
    </row>
    <row r="38" spans="1:17" s="54" customFormat="1" ht="11.25" x14ac:dyDescent="0.2">
      <c r="A38" s="480" t="s">
        <v>384</v>
      </c>
      <c r="D38" s="504"/>
      <c r="E38" s="74">
        <f>TB!M109</f>
        <v>1044</v>
      </c>
      <c r="F38" s="68"/>
      <c r="G38" s="74">
        <v>366</v>
      </c>
      <c r="H38" s="68"/>
      <c r="I38" s="74">
        <f t="shared" si="2"/>
        <v>399</v>
      </c>
      <c r="J38" s="329"/>
      <c r="K38" s="74">
        <v>150</v>
      </c>
      <c r="M38" s="74">
        <v>645</v>
      </c>
      <c r="O38" s="68">
        <f>SUM(O36:O37)</f>
        <v>128099</v>
      </c>
      <c r="P38" s="448"/>
    </row>
    <row r="39" spans="1:17" s="54" customFormat="1" ht="11.25" x14ac:dyDescent="0.2">
      <c r="A39" s="76" t="s">
        <v>37</v>
      </c>
      <c r="D39" s="66"/>
      <c r="E39" s="74">
        <f>TB!M116-1</f>
        <v>403</v>
      </c>
      <c r="F39" s="68"/>
      <c r="G39" s="74">
        <v>487</v>
      </c>
      <c r="H39" s="68"/>
      <c r="I39" s="74">
        <f t="shared" si="2"/>
        <v>151</v>
      </c>
      <c r="J39" s="329"/>
      <c r="K39" s="74">
        <v>151</v>
      </c>
      <c r="M39" s="74">
        <v>252</v>
      </c>
      <c r="O39" s="68"/>
      <c r="P39" s="448"/>
    </row>
    <row r="40" spans="1:17" s="54" customFormat="1" ht="11.25" x14ac:dyDescent="0.2">
      <c r="A40" s="75" t="s">
        <v>398</v>
      </c>
      <c r="E40" s="74">
        <f>TB!M113+SUM(TB!K121:K126)</f>
        <v>626</v>
      </c>
      <c r="F40" s="68"/>
      <c r="G40" s="74">
        <v>128</v>
      </c>
      <c r="H40" s="68"/>
      <c r="I40" s="74">
        <f t="shared" si="2"/>
        <v>222</v>
      </c>
      <c r="J40" s="329"/>
      <c r="K40" s="74">
        <v>55</v>
      </c>
      <c r="M40" s="74">
        <v>404</v>
      </c>
      <c r="O40" s="68"/>
      <c r="P40" s="448"/>
    </row>
    <row r="41" spans="1:17" s="320" customFormat="1" ht="11.25" x14ac:dyDescent="0.2">
      <c r="A41" s="72" t="s">
        <v>380</v>
      </c>
      <c r="D41" s="66"/>
      <c r="E41" s="74">
        <f>TB!M117</f>
        <v>137</v>
      </c>
      <c r="F41" s="68"/>
      <c r="G41" s="74">
        <v>102</v>
      </c>
      <c r="H41" s="68"/>
      <c r="I41" s="74">
        <f t="shared" ref="I41:I42" si="3">E41-M41</f>
        <v>-334</v>
      </c>
      <c r="J41" s="329"/>
      <c r="K41" s="74">
        <v>33</v>
      </c>
      <c r="M41" s="74">
        <v>471</v>
      </c>
      <c r="O41" s="68"/>
      <c r="P41" s="448"/>
    </row>
    <row r="42" spans="1:17" s="549" customFormat="1" ht="11.25" x14ac:dyDescent="0.2">
      <c r="A42" s="75" t="s">
        <v>381</v>
      </c>
      <c r="E42" s="74">
        <f>TB!M120</f>
        <v>53</v>
      </c>
      <c r="F42" s="68"/>
      <c r="G42" s="74">
        <v>36</v>
      </c>
      <c r="H42" s="68"/>
      <c r="I42" s="74">
        <f t="shared" si="3"/>
        <v>12</v>
      </c>
      <c r="J42" s="329"/>
      <c r="K42" s="74">
        <v>12</v>
      </c>
      <c r="M42" s="73">
        <v>41</v>
      </c>
      <c r="O42" s="68"/>
      <c r="P42" s="448"/>
    </row>
    <row r="43" spans="1:17" s="549" customFormat="1" ht="11.25" x14ac:dyDescent="0.2">
      <c r="A43" s="72" t="s">
        <v>494</v>
      </c>
      <c r="B43" s="54"/>
      <c r="C43" s="54"/>
      <c r="D43" s="66"/>
      <c r="E43" s="73">
        <f>+TB!K118+TB!K119-1</f>
        <v>472</v>
      </c>
      <c r="F43" s="68"/>
      <c r="G43" s="73">
        <v>222</v>
      </c>
      <c r="H43" s="68"/>
      <c r="I43" s="73">
        <f>+E43-M43</f>
        <v>-1913</v>
      </c>
      <c r="J43" s="329"/>
      <c r="K43" s="73">
        <v>7</v>
      </c>
      <c r="M43" s="407">
        <f>2147+238</f>
        <v>2385</v>
      </c>
      <c r="O43" s="68"/>
      <c r="P43" s="448"/>
      <c r="Q43" s="549">
        <f>2526+329+915+673+88+366+487+128+102+36+223</f>
        <v>5873</v>
      </c>
    </row>
    <row r="44" spans="1:17" s="54" customFormat="1" ht="11.25" x14ac:dyDescent="0.25">
      <c r="K44" s="549"/>
      <c r="O44" s="68"/>
      <c r="P44" s="448"/>
    </row>
    <row r="45" spans="1:17" s="54" customFormat="1" ht="11.25" x14ac:dyDescent="0.2">
      <c r="A45" s="71" t="s">
        <v>36</v>
      </c>
      <c r="E45" s="68">
        <f>SUM(E30:E43)+1</f>
        <v>17134</v>
      </c>
      <c r="F45" s="68">
        <f>SUM(F30:F43)</f>
        <v>0</v>
      </c>
      <c r="G45" s="68">
        <f>SUM(G30:G43)</f>
        <v>5872</v>
      </c>
      <c r="H45" s="68"/>
      <c r="I45" s="68">
        <f>SUM(I30:I43)</f>
        <v>2865</v>
      </c>
      <c r="J45" s="604"/>
      <c r="K45" s="68">
        <f>SUM(K30:K43)</f>
        <v>2494</v>
      </c>
      <c r="L45" s="488"/>
      <c r="M45" s="54">
        <f>SUM(M30:M43)</f>
        <v>14268</v>
      </c>
      <c r="O45" s="68"/>
      <c r="P45" s="448"/>
    </row>
    <row r="46" spans="1:17" s="54" customFormat="1" ht="11.25" x14ac:dyDescent="0.2">
      <c r="A46" s="71"/>
      <c r="C46" s="488"/>
      <c r="E46" s="68"/>
      <c r="F46" s="68"/>
      <c r="G46" s="68"/>
      <c r="H46" s="68"/>
      <c r="I46" s="68"/>
      <c r="J46" s="329"/>
      <c r="K46" s="68"/>
      <c r="O46" s="68"/>
      <c r="P46" s="448"/>
    </row>
    <row r="47" spans="1:17" s="54" customFormat="1" ht="11.25" x14ac:dyDescent="0.2">
      <c r="A47" s="55" t="s">
        <v>35</v>
      </c>
      <c r="E47" s="67">
        <f>E20-E45</f>
        <v>491719</v>
      </c>
      <c r="F47" s="68"/>
      <c r="G47" s="67">
        <f>G20-G45</f>
        <v>124593</v>
      </c>
      <c r="H47" s="68"/>
      <c r="I47" s="67">
        <f>I20-I45</f>
        <v>218521</v>
      </c>
      <c r="J47" s="329"/>
      <c r="K47" s="67">
        <f>K20-K45</f>
        <v>52966</v>
      </c>
      <c r="M47" s="488">
        <f>M20-M45</f>
        <v>273200</v>
      </c>
      <c r="O47" s="68"/>
      <c r="P47" s="448"/>
    </row>
    <row r="48" spans="1:17" s="54" customFormat="1" ht="11.25" x14ac:dyDescent="0.2">
      <c r="A48" s="55"/>
      <c r="E48" s="68"/>
      <c r="F48" s="68"/>
      <c r="G48" s="68"/>
      <c r="H48" s="68"/>
      <c r="I48" s="68"/>
      <c r="J48" s="329"/>
      <c r="K48" s="68"/>
      <c r="O48" s="68"/>
      <c r="P48" s="448"/>
    </row>
    <row r="49" spans="1:18" s="54" customFormat="1" ht="11.25" x14ac:dyDescent="0.2">
      <c r="A49" s="72" t="s">
        <v>646</v>
      </c>
      <c r="D49" s="66">
        <f>'Notes (remaining)'!A308</f>
        <v>7.1</v>
      </c>
      <c r="E49" s="65">
        <f>-TB!M115</f>
        <v>12614</v>
      </c>
      <c r="F49" s="68"/>
      <c r="G49" s="65">
        <v>-2492</v>
      </c>
      <c r="H49" s="68"/>
      <c r="I49" s="65">
        <f>E49-M49</f>
        <v>0</v>
      </c>
      <c r="J49" s="329"/>
      <c r="K49" s="65">
        <v>-1059</v>
      </c>
      <c r="M49" s="68">
        <v>12614</v>
      </c>
      <c r="N49" s="488"/>
      <c r="O49" s="68"/>
      <c r="P49" s="448">
        <f>+E45-E49</f>
        <v>4520</v>
      </c>
    </row>
    <row r="50" spans="1:18" s="54" customFormat="1" ht="11.25" x14ac:dyDescent="0.2">
      <c r="A50" s="71"/>
      <c r="E50" s="68"/>
      <c r="F50" s="68"/>
      <c r="G50" s="68"/>
      <c r="H50" s="68"/>
      <c r="I50" s="68"/>
      <c r="J50" s="329"/>
      <c r="K50" s="68"/>
      <c r="O50" s="68"/>
      <c r="P50" s="448">
        <v>4488</v>
      </c>
    </row>
    <row r="51" spans="1:18" s="54" customFormat="1" ht="11.25" x14ac:dyDescent="0.2">
      <c r="A51" s="55" t="s">
        <v>33</v>
      </c>
      <c r="E51" s="67">
        <f>E47+E49</f>
        <v>504333</v>
      </c>
      <c r="F51" s="68"/>
      <c r="G51" s="67">
        <f>G47+G49</f>
        <v>122101</v>
      </c>
      <c r="H51" s="68"/>
      <c r="I51" s="67">
        <f>I47+I49</f>
        <v>218521</v>
      </c>
      <c r="J51" s="604"/>
      <c r="K51" s="67">
        <f>K47+K49</f>
        <v>51907</v>
      </c>
      <c r="M51" s="488">
        <f>M47+M49</f>
        <v>285814</v>
      </c>
      <c r="N51" s="488"/>
      <c r="O51" s="68"/>
      <c r="P51" s="448">
        <f>+P49-P50</f>
        <v>32</v>
      </c>
    </row>
    <row r="52" spans="1:18" s="54" customFormat="1" ht="11.25" x14ac:dyDescent="0.2">
      <c r="A52" s="71"/>
      <c r="E52" s="68"/>
      <c r="F52" s="68"/>
      <c r="G52" s="68"/>
      <c r="H52" s="68"/>
      <c r="I52" s="68"/>
      <c r="J52" s="329"/>
      <c r="K52" s="68"/>
      <c r="O52" s="68"/>
      <c r="P52" s="448"/>
    </row>
    <row r="53" spans="1:18" s="54" customFormat="1" ht="15" hidden="1" customHeight="1" x14ac:dyDescent="0.2">
      <c r="A53" s="70" t="s">
        <v>32</v>
      </c>
      <c r="E53" s="68"/>
      <c r="F53" s="68"/>
      <c r="G53" s="68"/>
      <c r="H53" s="68"/>
      <c r="I53" s="68"/>
      <c r="J53" s="329"/>
      <c r="K53" s="68"/>
      <c r="O53" s="68"/>
      <c r="P53" s="448"/>
    </row>
    <row r="54" spans="1:18" s="54" customFormat="1" ht="15" hidden="1" customHeight="1" x14ac:dyDescent="0.2">
      <c r="A54" s="69" t="s">
        <v>31</v>
      </c>
      <c r="E54" s="68"/>
      <c r="F54" s="68"/>
      <c r="G54" s="68">
        <v>0</v>
      </c>
      <c r="H54" s="68"/>
      <c r="I54" s="68"/>
      <c r="J54" s="329"/>
      <c r="K54" s="68"/>
      <c r="O54" s="68"/>
      <c r="P54" s="448"/>
    </row>
    <row r="55" spans="1:18" s="54" customFormat="1" ht="8.1" hidden="1" customHeight="1" x14ac:dyDescent="0.2">
      <c r="A55" s="69"/>
      <c r="E55" s="68"/>
      <c r="F55" s="68"/>
      <c r="G55" s="68"/>
      <c r="H55" s="68"/>
      <c r="I55" s="68"/>
      <c r="J55" s="329"/>
      <c r="K55" s="68"/>
      <c r="O55" s="68"/>
      <c r="P55" s="448"/>
    </row>
    <row r="56" spans="1:18" s="54" customFormat="1" ht="15" hidden="1" customHeight="1" x14ac:dyDescent="0.2">
      <c r="A56" s="55" t="s">
        <v>30</v>
      </c>
      <c r="B56" s="51"/>
      <c r="C56" s="51"/>
      <c r="D56" s="51"/>
      <c r="E56" s="67"/>
      <c r="F56" s="65"/>
      <c r="G56" s="67">
        <v>10331</v>
      </c>
      <c r="H56" s="65"/>
      <c r="I56" s="67"/>
      <c r="J56" s="604">
        <v>456</v>
      </c>
      <c r="K56" s="67"/>
      <c r="O56" s="68"/>
      <c r="P56" s="448"/>
    </row>
    <row r="57" spans="1:18" s="54" customFormat="1" ht="8.1" hidden="1" customHeight="1" x14ac:dyDescent="0.2">
      <c r="A57" s="55"/>
      <c r="B57" s="51"/>
      <c r="C57" s="51"/>
      <c r="D57" s="51"/>
      <c r="E57" s="65"/>
      <c r="F57" s="65"/>
      <c r="G57" s="65"/>
      <c r="H57" s="65"/>
      <c r="I57" s="65"/>
      <c r="J57" s="329"/>
      <c r="K57" s="65"/>
      <c r="O57" s="68"/>
      <c r="P57" s="448"/>
    </row>
    <row r="58" spans="1:18" s="51" customFormat="1" ht="11.25" x14ac:dyDescent="0.2">
      <c r="A58" s="58" t="s">
        <v>29</v>
      </c>
      <c r="D58" s="66">
        <f>'Notes (remaining)'!A357</f>
        <v>9</v>
      </c>
      <c r="E58" s="65">
        <v>0</v>
      </c>
      <c r="F58" s="65"/>
      <c r="G58" s="65">
        <v>0</v>
      </c>
      <c r="H58" s="65"/>
      <c r="I58" s="65">
        <v>0</v>
      </c>
      <c r="J58" s="329"/>
      <c r="K58" s="65">
        <v>0</v>
      </c>
      <c r="O58" s="65"/>
      <c r="P58" s="449"/>
    </row>
    <row r="59" spans="1:18" s="51" customFormat="1" ht="11.25" x14ac:dyDescent="0.2">
      <c r="A59" s="55"/>
      <c r="E59" s="65"/>
      <c r="F59" s="65"/>
      <c r="G59" s="65"/>
      <c r="H59" s="65"/>
      <c r="I59" s="65"/>
      <c r="J59" s="329"/>
      <c r="K59" s="65"/>
      <c r="O59" s="65"/>
      <c r="P59" s="449"/>
    </row>
    <row r="60" spans="1:18" s="51" customFormat="1" thickBot="1" x14ac:dyDescent="0.25">
      <c r="A60" s="55" t="s">
        <v>28</v>
      </c>
      <c r="E60" s="64">
        <f>E51-E58</f>
        <v>504333</v>
      </c>
      <c r="F60" s="65"/>
      <c r="G60" s="64">
        <f>G51-G58</f>
        <v>122101</v>
      </c>
      <c r="H60" s="65"/>
      <c r="I60" s="64">
        <f>I51-I58</f>
        <v>218521</v>
      </c>
      <c r="J60" s="329"/>
      <c r="K60" s="64">
        <f>K51-K58</f>
        <v>51907</v>
      </c>
      <c r="O60" s="65"/>
      <c r="P60" s="449"/>
    </row>
    <row r="61" spans="1:18" s="51" customFormat="1" thickTop="1" x14ac:dyDescent="0.2">
      <c r="A61" s="55"/>
      <c r="B61" s="54"/>
      <c r="C61" s="54"/>
      <c r="D61" s="54"/>
      <c r="E61" s="60"/>
      <c r="F61" s="549"/>
      <c r="G61" s="60"/>
      <c r="H61" s="549"/>
      <c r="I61" s="549"/>
      <c r="J61" s="329"/>
      <c r="K61" s="60"/>
      <c r="O61" s="65"/>
      <c r="P61" s="449"/>
    </row>
    <row r="62" spans="1:18" s="51" customFormat="1" ht="11.25" x14ac:dyDescent="0.2">
      <c r="A62" s="63" t="s">
        <v>420</v>
      </c>
      <c r="B62" s="58"/>
      <c r="C62" s="58"/>
      <c r="D62" s="54"/>
      <c r="E62" s="60"/>
      <c r="F62" s="549"/>
      <c r="G62" s="60"/>
      <c r="H62" s="549"/>
      <c r="I62" s="549"/>
      <c r="J62" s="329"/>
      <c r="K62" s="60"/>
      <c r="O62" s="65"/>
      <c r="P62" s="449"/>
    </row>
    <row r="63" spans="1:18" s="51" customFormat="1" ht="11.25" x14ac:dyDescent="0.2">
      <c r="A63" s="62" t="s">
        <v>28</v>
      </c>
      <c r="B63" s="58"/>
      <c r="C63" s="58"/>
      <c r="D63" s="54"/>
      <c r="E63" s="53">
        <f>E60</f>
        <v>504333</v>
      </c>
      <c r="F63" s="549"/>
      <c r="G63" s="53">
        <v>122101</v>
      </c>
      <c r="H63" s="549"/>
      <c r="I63" s="53"/>
      <c r="J63" s="605"/>
      <c r="K63" s="53"/>
      <c r="L63" s="65">
        <v>102000</v>
      </c>
      <c r="M63" s="643">
        <v>44034</v>
      </c>
      <c r="O63" s="65"/>
      <c r="P63" s="449"/>
      <c r="R63" s="644">
        <f>+E65</f>
        <v>489534</v>
      </c>
    </row>
    <row r="64" spans="1:18" s="51" customFormat="1" ht="11.25" x14ac:dyDescent="0.2">
      <c r="A64" s="62" t="s">
        <v>27</v>
      </c>
      <c r="B64" s="58"/>
      <c r="C64" s="58"/>
      <c r="D64" s="549"/>
      <c r="E64" s="65">
        <v>-14799</v>
      </c>
      <c r="F64" s="549"/>
      <c r="G64" s="53">
        <v>-4073</v>
      </c>
      <c r="H64" s="549"/>
      <c r="I64" s="53"/>
      <c r="J64" s="605"/>
      <c r="K64" s="53"/>
      <c r="L64" s="65">
        <v>3661208</v>
      </c>
      <c r="M64" s="642">
        <v>44236</v>
      </c>
      <c r="N64" s="65">
        <f>+L63-L64</f>
        <v>-3559208</v>
      </c>
      <c r="O64" s="65"/>
      <c r="P64" s="449"/>
      <c r="R64" s="644">
        <f>-O76</f>
        <v>489482.69467000011</v>
      </c>
    </row>
    <row r="65" spans="1:19" s="51" customFormat="1" thickBot="1" x14ac:dyDescent="0.25">
      <c r="A65" s="55"/>
      <c r="B65" s="54"/>
      <c r="C65" s="54"/>
      <c r="D65" s="54"/>
      <c r="E65" s="606">
        <f>E63+E64</f>
        <v>489534</v>
      </c>
      <c r="F65" s="549"/>
      <c r="G65" s="606">
        <f>G63+G64</f>
        <v>118028</v>
      </c>
      <c r="H65" s="549"/>
      <c r="I65" s="516"/>
      <c r="J65" s="605"/>
      <c r="K65" s="516"/>
      <c r="L65" s="65">
        <v>287768</v>
      </c>
      <c r="M65" s="643">
        <v>44270</v>
      </c>
      <c r="O65" s="65"/>
      <c r="P65" s="449"/>
      <c r="R65" s="644">
        <f>+M78-O78</f>
        <v>8043.6680000000006</v>
      </c>
    </row>
    <row r="66" spans="1:19" s="51" customFormat="1" thickTop="1" x14ac:dyDescent="0.2">
      <c r="A66" s="55"/>
      <c r="B66" s="54"/>
      <c r="C66" s="54"/>
      <c r="D66" s="54"/>
      <c r="E66" s="60"/>
      <c r="F66" s="549"/>
      <c r="G66" s="60"/>
      <c r="H66" s="549"/>
      <c r="I66" s="550"/>
      <c r="J66" s="605"/>
      <c r="K66" s="617"/>
      <c r="L66" s="65">
        <v>23913</v>
      </c>
      <c r="M66" s="643">
        <v>44286</v>
      </c>
      <c r="O66" s="65"/>
      <c r="P66" s="449"/>
    </row>
    <row r="67" spans="1:19" s="51" customFormat="1" ht="11.25" x14ac:dyDescent="0.2">
      <c r="A67" s="61" t="s">
        <v>26</v>
      </c>
      <c r="B67" s="58"/>
      <c r="C67" s="58"/>
      <c r="D67" s="54"/>
      <c r="E67" s="60"/>
      <c r="F67" s="549"/>
      <c r="G67" s="60"/>
      <c r="H67" s="549"/>
      <c r="I67" s="550"/>
      <c r="J67" s="605"/>
      <c r="K67" s="617"/>
      <c r="L67" s="65">
        <f>SUM(L63:L66)</f>
        <v>4074889</v>
      </c>
      <c r="O67" s="65"/>
      <c r="P67" s="449"/>
    </row>
    <row r="68" spans="1:19" s="51" customFormat="1" ht="11.25" x14ac:dyDescent="0.2">
      <c r="A68" s="59" t="s">
        <v>25</v>
      </c>
      <c r="B68" s="58"/>
      <c r="C68" s="58"/>
      <c r="D68" s="54"/>
      <c r="E68" s="607">
        <f>+E15-R70</f>
        <v>7374.0450000000001</v>
      </c>
      <c r="F68" s="549"/>
      <c r="G68" s="607">
        <v>0</v>
      </c>
      <c r="H68" s="549"/>
      <c r="I68" s="53"/>
      <c r="J68" s="605"/>
      <c r="K68" s="53"/>
      <c r="O68" s="634">
        <f>O69/1000</f>
        <v>82459.070000000007</v>
      </c>
      <c r="P68" s="449"/>
      <c r="R68" s="670" t="s">
        <v>702</v>
      </c>
      <c r="S68" s="670" t="s">
        <v>703</v>
      </c>
    </row>
    <row r="69" spans="1:19" s="51" customFormat="1" ht="11.25" x14ac:dyDescent="0.2">
      <c r="A69" s="59" t="s">
        <v>24</v>
      </c>
      <c r="B69" s="58"/>
      <c r="C69" s="58"/>
      <c r="D69" s="54"/>
      <c r="E69" s="608">
        <f>+E70-E68</f>
        <v>482159.95500000002</v>
      </c>
      <c r="F69" s="549"/>
      <c r="G69" s="608">
        <v>118028.111</v>
      </c>
      <c r="H69" s="549"/>
      <c r="I69" s="53"/>
      <c r="J69" s="605"/>
      <c r="K69" s="53"/>
      <c r="O69" s="65">
        <v>82459070</v>
      </c>
      <c r="P69" s="449"/>
      <c r="R69" s="705">
        <v>571955</v>
      </c>
      <c r="S69" s="705">
        <v>14227374</v>
      </c>
    </row>
    <row r="70" spans="1:19" s="51" customFormat="1" thickBot="1" x14ac:dyDescent="0.25">
      <c r="A70" s="55"/>
      <c r="B70" s="54"/>
      <c r="C70" s="54"/>
      <c r="D70" s="54"/>
      <c r="E70" s="609">
        <f>+E65</f>
        <v>489534</v>
      </c>
      <c r="F70" s="549"/>
      <c r="G70" s="609">
        <f>SUM(G68:G69)</f>
        <v>118028.111</v>
      </c>
      <c r="H70" s="549"/>
      <c r="I70" s="53"/>
      <c r="J70" s="605"/>
      <c r="K70" s="53"/>
      <c r="L70" s="644">
        <f>+E60</f>
        <v>504333</v>
      </c>
      <c r="O70" s="65"/>
      <c r="P70" s="449"/>
      <c r="R70" s="65">
        <f>+R69/1000</f>
        <v>571.95500000000004</v>
      </c>
    </row>
    <row r="71" spans="1:19" s="51" customFormat="1" thickTop="1" x14ac:dyDescent="0.2">
      <c r="A71" s="55"/>
      <c r="B71" s="54"/>
      <c r="C71" s="54"/>
      <c r="D71" s="54"/>
      <c r="E71" s="53"/>
      <c r="F71" s="549"/>
      <c r="G71" s="610"/>
      <c r="H71" s="329"/>
      <c r="I71" s="53"/>
      <c r="J71" s="329"/>
      <c r="K71" s="329"/>
      <c r="L71" s="51">
        <f>+UHF!F51</f>
        <v>-489482.69467000011</v>
      </c>
      <c r="O71" s="65"/>
      <c r="P71" s="449">
        <f>+E65+P75</f>
        <v>51.305329999886453</v>
      </c>
    </row>
    <row r="72" spans="1:19" s="51" customFormat="1" ht="11.25" x14ac:dyDescent="0.2">
      <c r="A72" s="57" t="s">
        <v>400</v>
      </c>
      <c r="B72" s="54"/>
      <c r="C72" s="54"/>
      <c r="D72" s="56">
        <f>'Notes (remaining)'!A370</f>
        <v>10</v>
      </c>
      <c r="E72" s="53"/>
      <c r="F72" s="549"/>
      <c r="G72" s="610"/>
      <c r="H72" s="329"/>
      <c r="I72" s="53"/>
      <c r="J72" s="329"/>
      <c r="K72" s="329"/>
      <c r="L72" s="644">
        <f>+L70+L71</f>
        <v>14850.305329999886</v>
      </c>
      <c r="O72" s="65"/>
      <c r="P72" s="449"/>
    </row>
    <row r="73" spans="1:19" s="51" customFormat="1" ht="11.25" x14ac:dyDescent="0.2">
      <c r="A73" s="55"/>
      <c r="B73" s="54"/>
      <c r="C73" s="54"/>
      <c r="D73" s="54"/>
      <c r="E73" s="53"/>
      <c r="F73" s="549"/>
      <c r="G73" s="610"/>
      <c r="H73" s="329"/>
      <c r="I73" s="53"/>
      <c r="J73" s="329"/>
      <c r="K73" s="329"/>
      <c r="O73" s="65">
        <f>+E60</f>
        <v>504333</v>
      </c>
      <c r="P73" s="449"/>
    </row>
    <row r="74" spans="1:19" s="1" customFormat="1" x14ac:dyDescent="0.25">
      <c r="A74" s="1" t="str">
        <f>SAL!$A$37</f>
        <v>The annexed notes from 1 to 16 form an integral part of these condensed interim financial statements.</v>
      </c>
      <c r="D74" s="3"/>
      <c r="E74" s="555"/>
      <c r="F74" s="342"/>
      <c r="G74" s="555"/>
      <c r="H74" s="555"/>
      <c r="I74" s="555"/>
      <c r="J74" s="555"/>
      <c r="K74" s="555"/>
      <c r="M74" s="545">
        <v>109984</v>
      </c>
      <c r="O74" s="1">
        <f>+M78</f>
        <v>8067.5810000000001</v>
      </c>
      <c r="P74" s="446"/>
    </row>
    <row r="75" spans="1:19" s="1" customFormat="1" x14ac:dyDescent="0.25">
      <c r="D75" s="3"/>
      <c r="E75" s="555"/>
      <c r="F75" s="555"/>
      <c r="G75" s="555"/>
      <c r="H75" s="555"/>
      <c r="I75" s="555"/>
      <c r="J75" s="555"/>
      <c r="K75" s="555"/>
      <c r="O75" s="342">
        <f>+O73-O74</f>
        <v>496265.41899999999</v>
      </c>
      <c r="P75" s="5">
        <f>+UHF!F51</f>
        <v>-489482.69467000011</v>
      </c>
    </row>
    <row r="76" spans="1:19" s="1" customFormat="1" x14ac:dyDescent="0.25">
      <c r="D76" s="3"/>
      <c r="E76" s="555"/>
      <c r="F76" s="555"/>
      <c r="G76" s="555"/>
      <c r="H76" s="555"/>
      <c r="I76" s="555"/>
      <c r="J76" s="555"/>
      <c r="K76" s="555"/>
      <c r="O76" s="342">
        <f>+P75</f>
        <v>-489482.69467000011</v>
      </c>
      <c r="P76" s="446"/>
    </row>
    <row r="77" spans="1:19" s="1" customFormat="1" x14ac:dyDescent="0.2">
      <c r="A77" s="50" t="str">
        <f>SAL!$A$40</f>
        <v xml:space="preserve">                                                       For MCB-Arif Habib Savings and Investments Limited</v>
      </c>
      <c r="B77" s="17"/>
      <c r="C77" s="17"/>
      <c r="D77" s="17"/>
      <c r="E77" s="17"/>
      <c r="F77" s="555"/>
      <c r="G77" s="555"/>
      <c r="H77" s="555"/>
      <c r="I77" s="555"/>
      <c r="J77" s="555"/>
      <c r="K77" s="555"/>
      <c r="M77" s="645">
        <v>8067581</v>
      </c>
      <c r="O77" s="5">
        <f>+O75+O76</f>
        <v>6782.7243299998809</v>
      </c>
      <c r="P77" s="446" t="s">
        <v>528</v>
      </c>
    </row>
    <row r="78" spans="1:19" s="1" customFormat="1" x14ac:dyDescent="0.2">
      <c r="A78" s="49" t="str">
        <f>SAL!$A$41</f>
        <v xml:space="preserve">                                                                               (Management Company)</v>
      </c>
      <c r="B78" s="17"/>
      <c r="C78" s="17"/>
      <c r="D78" s="17"/>
      <c r="E78" s="16"/>
      <c r="F78" s="555"/>
      <c r="G78" s="555"/>
      <c r="H78" s="555"/>
      <c r="I78" s="555"/>
      <c r="J78" s="555"/>
      <c r="K78" s="555"/>
      <c r="M78" s="1">
        <f>+M77/1000</f>
        <v>8067.5810000000001</v>
      </c>
      <c r="O78" s="5">
        <f>+L66/1000</f>
        <v>23.913</v>
      </c>
      <c r="P78" s="446" t="s">
        <v>528</v>
      </c>
    </row>
    <row r="79" spans="1:19" s="1" customFormat="1" x14ac:dyDescent="0.2">
      <c r="A79" s="15"/>
      <c r="B79" s="15"/>
      <c r="C79" s="9"/>
      <c r="D79" s="13"/>
      <c r="E79" s="7"/>
      <c r="F79" s="555"/>
      <c r="G79" s="555"/>
      <c r="H79" s="555"/>
      <c r="I79" s="555"/>
      <c r="J79" s="555"/>
      <c r="K79" s="555"/>
      <c r="M79" s="342">
        <f>-L66</f>
        <v>-23913</v>
      </c>
      <c r="O79" s="5">
        <f>+O77+O78</f>
        <v>6806.6373299998804</v>
      </c>
      <c r="P79" s="446"/>
    </row>
    <row r="80" spans="1:19" s="1" customFormat="1" x14ac:dyDescent="0.2">
      <c r="A80" s="15"/>
      <c r="B80" s="15"/>
      <c r="C80" s="9"/>
      <c r="D80" s="13"/>
      <c r="E80" s="7"/>
      <c r="F80" s="555"/>
      <c r="G80" s="555"/>
      <c r="H80" s="555"/>
      <c r="I80" s="555"/>
      <c r="J80" s="555"/>
      <c r="K80" s="555"/>
      <c r="M80" s="342">
        <f>+M78+M79</f>
        <v>-15845.419</v>
      </c>
      <c r="O80" s="5"/>
      <c r="P80" s="446"/>
    </row>
    <row r="81" spans="1:16" s="1" customFormat="1" x14ac:dyDescent="0.2">
      <c r="A81" s="15"/>
      <c r="B81" s="15"/>
      <c r="C81" s="9"/>
      <c r="D81" s="13"/>
      <c r="E81" s="7"/>
      <c r="F81" s="555"/>
      <c r="G81" s="555"/>
      <c r="H81" s="555"/>
      <c r="I81" s="555"/>
      <c r="J81" s="555"/>
      <c r="K81" s="555"/>
      <c r="M81" s="342">
        <f>+E60+M80</f>
        <v>488487.58100000001</v>
      </c>
      <c r="O81" s="5"/>
      <c r="P81" s="446"/>
    </row>
    <row r="82" spans="1:16" s="1" customFormat="1" x14ac:dyDescent="0.2">
      <c r="A82" s="15"/>
      <c r="B82" s="15"/>
      <c r="C82" s="9"/>
      <c r="D82" s="13"/>
      <c r="E82" s="7"/>
      <c r="F82" s="555"/>
      <c r="G82" s="555"/>
      <c r="H82" s="555"/>
      <c r="I82" s="555"/>
      <c r="J82" s="555"/>
      <c r="K82" s="555"/>
      <c r="O82" s="5"/>
      <c r="P82" s="446"/>
    </row>
    <row r="83" spans="1:16" s="1" customFormat="1" x14ac:dyDescent="0.2">
      <c r="A83" s="50" t="str">
        <f>SAL!$A$46</f>
        <v xml:space="preserve">           _____________________                          _____________________                          _____________________</v>
      </c>
      <c r="E83" s="7"/>
      <c r="F83" s="555"/>
      <c r="G83" s="555"/>
      <c r="H83" s="555"/>
      <c r="I83" s="555"/>
      <c r="J83" s="555"/>
      <c r="K83" s="555"/>
      <c r="O83" s="5"/>
      <c r="P83" s="446"/>
    </row>
    <row r="84" spans="1:16" s="1" customFormat="1" x14ac:dyDescent="0.2">
      <c r="A84" s="49" t="str">
        <f>SAL!$A$47</f>
        <v xml:space="preserve">            Chief Executive Officer                              Chief Financial Officer                                          Director</v>
      </c>
      <c r="E84" s="7"/>
      <c r="F84" s="555"/>
      <c r="G84" s="555"/>
      <c r="H84" s="555"/>
      <c r="I84" s="555"/>
      <c r="J84" s="555"/>
      <c r="K84" s="555"/>
      <c r="O84" s="5"/>
      <c r="P84" s="446"/>
    </row>
    <row r="85" spans="1:16" x14ac:dyDescent="0.2">
      <c r="E85" s="235"/>
      <c r="F85" s="235"/>
      <c r="G85" s="235"/>
      <c r="H85" s="235"/>
      <c r="I85" s="235"/>
      <c r="J85" s="235"/>
    </row>
  </sheetData>
  <mergeCells count="5">
    <mergeCell ref="E5:G5"/>
    <mergeCell ref="I5:K5"/>
    <mergeCell ref="E6:G6"/>
    <mergeCell ref="I6:K6"/>
    <mergeCell ref="E8:K8"/>
  </mergeCells>
  <printOptions horizontalCentered="1"/>
  <pageMargins left="0.75" right="0.5" top="0.5" bottom="0.4" header="0.3" footer="0.3"/>
  <pageSetup paperSize="9" scale="98" orientation="portrait" r:id="rId1"/>
  <cellWatches>
    <cellWatch r="P20"/>
    <cellWatch r="P45"/>
  </cellWatches>
  <ignoredErrors>
    <ignoredError sqref="E66:H67 E63:F63 F64 F70 F69 E65:F65 H63 H64 H65 H68:H69 H70 F68 E69:E7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33"/>
  <sheetViews>
    <sheetView view="pageBreakPreview" zoomScaleNormal="100" zoomScaleSheetLayoutView="100" workbookViewId="0">
      <selection activeCell="E10" sqref="E10"/>
    </sheetView>
  </sheetViews>
  <sheetFormatPr defaultColWidth="9" defaultRowHeight="12" x14ac:dyDescent="0.2"/>
  <cols>
    <col min="1" max="1" width="5.125" style="48" customWidth="1"/>
    <col min="2" max="2" width="2.375" style="48" customWidth="1"/>
    <col min="3" max="3" width="25.625" style="48" customWidth="1"/>
    <col min="4" max="4" width="5.625" style="48" customWidth="1"/>
    <col min="5" max="5" width="10.375" style="48" customWidth="1"/>
    <col min="6" max="6" width="1.125" style="48" customWidth="1"/>
    <col min="7" max="7" width="10.375" style="48" customWidth="1"/>
    <col min="8" max="8" width="1.125" style="48" customWidth="1"/>
    <col min="9" max="9" width="10.375" style="48" customWidth="1"/>
    <col min="10" max="10" width="1.125" style="48" customWidth="1"/>
    <col min="11" max="11" width="10.375" style="235" customWidth="1"/>
    <col min="12" max="16384" width="9" style="48"/>
  </cols>
  <sheetData>
    <row r="1" spans="1:13" s="88" customFormat="1" x14ac:dyDescent="0.2">
      <c r="A1" s="138" t="s">
        <v>23</v>
      </c>
      <c r="B1" s="138"/>
      <c r="C1" s="138"/>
      <c r="D1" s="138"/>
      <c r="E1" s="138"/>
      <c r="F1" s="138"/>
      <c r="G1" s="138"/>
      <c r="H1" s="138"/>
      <c r="K1" s="235"/>
    </row>
    <row r="2" spans="1:13" s="88" customFormat="1" x14ac:dyDescent="0.2">
      <c r="A2" s="137" t="s">
        <v>58</v>
      </c>
      <c r="B2" s="137"/>
      <c r="C2" s="137"/>
      <c r="D2" s="137"/>
      <c r="E2" s="137"/>
      <c r="F2" s="137"/>
      <c r="G2" s="137"/>
      <c r="H2" s="137"/>
      <c r="K2" s="235"/>
    </row>
    <row r="3" spans="1:13" s="88" customFormat="1" x14ac:dyDescent="0.2">
      <c r="A3" s="87" t="str">
        <f>IS!A3</f>
        <v>FOR THE NINE MONTHS AND QUARTER ENDED MARCH 31, 2022</v>
      </c>
      <c r="B3" s="87"/>
      <c r="C3" s="87"/>
      <c r="D3" s="87"/>
      <c r="E3" s="87"/>
      <c r="F3" s="87"/>
      <c r="G3" s="87"/>
      <c r="H3" s="87"/>
      <c r="K3" s="235"/>
    </row>
    <row r="4" spans="1:13" s="88" customFormat="1" x14ac:dyDescent="0.2">
      <c r="A4" s="133"/>
      <c r="B4" s="133"/>
      <c r="C4" s="132"/>
      <c r="D4" s="132"/>
      <c r="E4" s="136"/>
      <c r="F4" s="132"/>
      <c r="G4" s="135"/>
      <c r="H4" s="135"/>
      <c r="K4" s="235"/>
    </row>
    <row r="5" spans="1:13" s="88" customFormat="1" x14ac:dyDescent="0.2">
      <c r="A5" s="133"/>
      <c r="B5" s="133"/>
      <c r="C5" s="132"/>
      <c r="D5" s="132"/>
      <c r="E5" s="728" t="s">
        <v>507</v>
      </c>
      <c r="F5" s="728"/>
      <c r="G5" s="728"/>
      <c r="H5" s="134"/>
      <c r="I5" s="729" t="s">
        <v>57</v>
      </c>
      <c r="J5" s="729"/>
      <c r="K5" s="729"/>
    </row>
    <row r="6" spans="1:13" s="88" customFormat="1" x14ac:dyDescent="0.2">
      <c r="A6" s="133"/>
      <c r="B6" s="133"/>
      <c r="C6" s="132"/>
      <c r="D6" s="132"/>
      <c r="E6" s="730" t="str">
        <f>+IS!E6</f>
        <v>March 31,</v>
      </c>
      <c r="F6" s="730"/>
      <c r="G6" s="730"/>
      <c r="H6" s="508"/>
      <c r="I6" s="730" t="str">
        <f>+IS!I6</f>
        <v>March 31,</v>
      </c>
      <c r="J6" s="730"/>
      <c r="K6" s="730"/>
    </row>
    <row r="7" spans="1:13" s="88" customFormat="1" x14ac:dyDescent="0.2">
      <c r="A7" s="92"/>
      <c r="B7" s="92"/>
      <c r="C7" s="92"/>
      <c r="D7" s="92"/>
      <c r="E7" s="40">
        <v>2022</v>
      </c>
      <c r="G7" s="40">
        <v>2021</v>
      </c>
      <c r="H7" s="40"/>
      <c r="I7" s="40">
        <v>2022</v>
      </c>
      <c r="K7" s="40">
        <v>2021</v>
      </c>
    </row>
    <row r="8" spans="1:13" s="88" customFormat="1" x14ac:dyDescent="0.2">
      <c r="A8" s="92"/>
      <c r="B8" s="92"/>
      <c r="C8" s="92"/>
      <c r="D8" s="92"/>
      <c r="E8" s="731" t="s">
        <v>385</v>
      </c>
      <c r="F8" s="731"/>
      <c r="G8" s="731"/>
      <c r="H8" s="731"/>
      <c r="I8" s="731"/>
      <c r="J8" s="731"/>
      <c r="K8" s="731"/>
    </row>
    <row r="9" spans="1:13" s="88" customFormat="1" x14ac:dyDescent="0.2">
      <c r="A9" s="131"/>
      <c r="B9" s="131"/>
      <c r="C9" s="92"/>
      <c r="D9" s="92"/>
      <c r="E9" s="130"/>
      <c r="F9" s="129"/>
      <c r="G9" s="128"/>
      <c r="H9" s="128"/>
      <c r="K9" s="235"/>
    </row>
    <row r="10" spans="1:13" s="88" customFormat="1" x14ac:dyDescent="0.2">
      <c r="A10" s="127" t="s">
        <v>28</v>
      </c>
      <c r="B10" s="126"/>
      <c r="C10" s="92"/>
      <c r="D10" s="92"/>
      <c r="E10" s="95">
        <f>IS!E60</f>
        <v>504333</v>
      </c>
      <c r="F10" s="96"/>
      <c r="G10" s="95">
        <v>122101</v>
      </c>
      <c r="H10" s="96"/>
      <c r="I10" s="95">
        <f>+IS!I60</f>
        <v>218521</v>
      </c>
      <c r="J10" s="95"/>
      <c r="K10" s="116">
        <v>51907</v>
      </c>
      <c r="M10" s="88">
        <v>4365</v>
      </c>
    </row>
    <row r="11" spans="1:13" s="88" customFormat="1" x14ac:dyDescent="0.2">
      <c r="A11" s="125"/>
      <c r="B11" s="125"/>
      <c r="C11" s="92"/>
      <c r="D11" s="92"/>
      <c r="E11" s="97"/>
      <c r="F11" s="96"/>
      <c r="G11" s="97"/>
      <c r="H11" s="96"/>
      <c r="I11" s="95"/>
      <c r="J11" s="95"/>
      <c r="K11" s="116"/>
    </row>
    <row r="12" spans="1:13" s="115" customFormat="1" x14ac:dyDescent="0.2">
      <c r="A12" s="119" t="s">
        <v>421</v>
      </c>
      <c r="B12" s="124"/>
      <c r="C12" s="118"/>
      <c r="D12" s="118"/>
      <c r="E12" s="123">
        <v>0</v>
      </c>
      <c r="F12" s="118"/>
      <c r="G12" s="123">
        <v>0</v>
      </c>
      <c r="H12" s="118"/>
      <c r="I12" s="116">
        <v>0</v>
      </c>
      <c r="J12" s="122"/>
      <c r="K12" s="116">
        <v>0</v>
      </c>
    </row>
    <row r="13" spans="1:13" s="115" customFormat="1" ht="15" hidden="1" customHeight="1" x14ac:dyDescent="0.2">
      <c r="A13" s="121"/>
      <c r="B13" s="121"/>
      <c r="C13" s="118"/>
      <c r="D13" s="118"/>
      <c r="E13" s="118"/>
      <c r="F13" s="118"/>
      <c r="G13" s="118"/>
      <c r="H13" s="118"/>
      <c r="I13" s="117"/>
      <c r="J13" s="117"/>
      <c r="K13" s="116"/>
    </row>
    <row r="14" spans="1:13" s="115" customFormat="1" ht="15" hidden="1" customHeight="1" x14ac:dyDescent="0.2">
      <c r="A14" s="120" t="s">
        <v>56</v>
      </c>
      <c r="B14" s="119"/>
      <c r="C14" s="118"/>
      <c r="D14" s="118"/>
      <c r="E14" s="118"/>
      <c r="F14" s="118"/>
      <c r="G14" s="118"/>
      <c r="H14" s="118"/>
      <c r="I14" s="117"/>
      <c r="J14" s="117"/>
      <c r="K14" s="116"/>
    </row>
    <row r="15" spans="1:13" s="88" customFormat="1" ht="15" hidden="1" customHeight="1" x14ac:dyDescent="0.2">
      <c r="A15" s="114" t="s">
        <v>55</v>
      </c>
      <c r="B15" s="113"/>
      <c r="C15" s="110"/>
      <c r="D15" s="110"/>
      <c r="E15" s="112"/>
      <c r="F15" s="111"/>
      <c r="G15" s="112"/>
      <c r="H15" s="111"/>
      <c r="I15" s="555"/>
      <c r="J15" s="110"/>
      <c r="K15" s="116"/>
    </row>
    <row r="16" spans="1:13" s="88" customFormat="1" ht="15" hidden="1" customHeight="1" thickBot="1" x14ac:dyDescent="0.25">
      <c r="A16" s="109"/>
      <c r="B16" s="109"/>
      <c r="C16" s="108"/>
      <c r="D16" s="108"/>
      <c r="E16" s="96"/>
      <c r="F16" s="101"/>
      <c r="G16" s="96"/>
      <c r="H16" s="101"/>
      <c r="I16" s="154"/>
      <c r="J16" s="101"/>
      <c r="K16" s="116"/>
    </row>
    <row r="17" spans="1:12" s="88" customFormat="1" ht="15" hidden="1" customHeight="1" x14ac:dyDescent="0.2">
      <c r="A17" s="107" t="s">
        <v>54</v>
      </c>
      <c r="B17" s="106"/>
      <c r="C17" s="105"/>
      <c r="D17" s="105"/>
      <c r="E17" s="96"/>
      <c r="F17" s="101"/>
      <c r="G17" s="96"/>
      <c r="H17" s="101"/>
      <c r="I17" s="154"/>
      <c r="J17" s="101"/>
      <c r="K17" s="116"/>
    </row>
    <row r="18" spans="1:12" s="88" customFormat="1" ht="15" hidden="1" customHeight="1" x14ac:dyDescent="0.2">
      <c r="A18" s="104" t="s">
        <v>53</v>
      </c>
      <c r="B18" s="103"/>
      <c r="C18" s="102"/>
      <c r="D18" s="102"/>
      <c r="E18" s="96"/>
      <c r="F18" s="101"/>
      <c r="G18" s="96">
        <v>0</v>
      </c>
      <c r="H18" s="101"/>
      <c r="I18" s="154"/>
      <c r="J18" s="101"/>
      <c r="K18" s="116"/>
    </row>
    <row r="19" spans="1:12" s="88" customFormat="1" x14ac:dyDescent="0.2">
      <c r="C19" s="92"/>
      <c r="D19" s="92"/>
      <c r="I19" s="235"/>
      <c r="K19" s="116"/>
      <c r="L19" s="88" t="s">
        <v>305</v>
      </c>
    </row>
    <row r="20" spans="1:12" s="88" customFormat="1" ht="12.75" thickBot="1" x14ac:dyDescent="0.25">
      <c r="A20" s="100" t="s">
        <v>52</v>
      </c>
      <c r="B20" s="100"/>
      <c r="C20" s="92"/>
      <c r="D20" s="92"/>
      <c r="E20" s="99">
        <f>SUM(E10:E12)</f>
        <v>504333</v>
      </c>
      <c r="F20" s="96"/>
      <c r="G20" s="99">
        <f>SUM(G10:G12)</f>
        <v>122101</v>
      </c>
      <c r="H20" s="96"/>
      <c r="I20" s="99">
        <f>SUM(I10:I12)</f>
        <v>218521</v>
      </c>
      <c r="J20" s="95"/>
      <c r="K20" s="630">
        <f>SUM(K10:K12)</f>
        <v>51907</v>
      </c>
      <c r="L20" s="451">
        <f>E20-IS!E60</f>
        <v>0</v>
      </c>
    </row>
    <row r="21" spans="1:12" s="88" customFormat="1" ht="12.75" thickTop="1" x14ac:dyDescent="0.2">
      <c r="A21" s="98"/>
      <c r="B21" s="98"/>
      <c r="C21" s="92"/>
      <c r="D21" s="92"/>
      <c r="E21" s="97"/>
      <c r="F21" s="96"/>
      <c r="G21" s="95"/>
      <c r="H21" s="95"/>
      <c r="I21" s="94"/>
      <c r="J21" s="94"/>
      <c r="K21" s="116"/>
    </row>
    <row r="22" spans="1:12" s="88" customFormat="1" x14ac:dyDescent="0.2">
      <c r="A22" s="93"/>
      <c r="B22" s="93"/>
      <c r="C22" s="92"/>
      <c r="D22" s="92"/>
      <c r="E22" s="91"/>
      <c r="F22" s="90"/>
      <c r="G22" s="89"/>
      <c r="H22" s="89"/>
      <c r="K22" s="235"/>
    </row>
    <row r="23" spans="1:12" s="1" customFormat="1" x14ac:dyDescent="0.25">
      <c r="A23" s="1" t="str">
        <f>SAL!$A$37</f>
        <v>The annexed notes from 1 to 16 form an integral part of these condensed interim financial statements.</v>
      </c>
      <c r="K23" s="555"/>
    </row>
    <row r="24" spans="1:12" s="1" customFormat="1" x14ac:dyDescent="0.25">
      <c r="K24" s="555"/>
    </row>
    <row r="25" spans="1:12" s="1" customFormat="1" x14ac:dyDescent="0.25">
      <c r="K25" s="555"/>
    </row>
    <row r="26" spans="1:12" s="1" customFormat="1" x14ac:dyDescent="0.2">
      <c r="A26" s="50" t="str">
        <f>SAL!$A$40</f>
        <v xml:space="preserve">                                                       For MCB-Arif Habib Savings and Investments Limited</v>
      </c>
      <c r="B26" s="17"/>
      <c r="C26" s="17"/>
      <c r="D26" s="17"/>
      <c r="K26" s="555"/>
    </row>
    <row r="27" spans="1:12" s="1" customFormat="1" x14ac:dyDescent="0.2">
      <c r="A27" s="49" t="str">
        <f>SAL!$A$41</f>
        <v xml:space="preserve">                                                                               (Management Company)</v>
      </c>
      <c r="B27" s="17"/>
      <c r="C27" s="17"/>
      <c r="D27" s="17"/>
      <c r="K27" s="555"/>
    </row>
    <row r="28" spans="1:12" s="1" customFormat="1" x14ac:dyDescent="0.2">
      <c r="A28" s="15"/>
      <c r="B28" s="15"/>
      <c r="C28" s="9"/>
      <c r="D28" s="9"/>
      <c r="K28" s="555"/>
    </row>
    <row r="29" spans="1:12" s="1" customFormat="1" x14ac:dyDescent="0.2">
      <c r="A29" s="15"/>
      <c r="B29" s="15"/>
      <c r="C29" s="9"/>
      <c r="D29" s="9"/>
      <c r="K29" s="555"/>
    </row>
    <row r="30" spans="1:12" s="1" customFormat="1" x14ac:dyDescent="0.2">
      <c r="A30" s="15"/>
      <c r="B30" s="15"/>
      <c r="C30" s="9"/>
      <c r="D30" s="9"/>
      <c r="K30" s="555"/>
    </row>
    <row r="31" spans="1:12" s="1" customFormat="1" x14ac:dyDescent="0.2">
      <c r="A31" s="15"/>
      <c r="B31" s="15"/>
      <c r="C31" s="9"/>
      <c r="D31" s="9"/>
      <c r="K31" s="555"/>
    </row>
    <row r="32" spans="1:12" s="1" customFormat="1" x14ac:dyDescent="0.25">
      <c r="A32" s="50" t="str">
        <f>SAL!$A$46</f>
        <v xml:space="preserve">           _____________________                          _____________________                          _____________________</v>
      </c>
      <c r="K32" s="555"/>
    </row>
    <row r="33" spans="1:11" s="1" customFormat="1" x14ac:dyDescent="0.2">
      <c r="A33" s="49" t="str">
        <f>SAL!$A$47</f>
        <v xml:space="preserve">            Chief Executive Officer                              Chief Financial Officer                                          Director</v>
      </c>
      <c r="K33" s="555"/>
    </row>
  </sheetData>
  <mergeCells count="5">
    <mergeCell ref="E5:G5"/>
    <mergeCell ref="I5:K5"/>
    <mergeCell ref="E6:G6"/>
    <mergeCell ref="I6:K6"/>
    <mergeCell ref="E8:K8"/>
  </mergeCells>
  <printOptions horizontalCentered="1"/>
  <pageMargins left="0.75" right="0.5" top="0.5" bottom="0.4" header="0.3" footer="0.3"/>
  <pageSetup paperSize="9" scale="98" orientation="portrait" r:id="rId1"/>
  <cellWatches>
    <cellWatch r="L20"/>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93"/>
  <sheetViews>
    <sheetView view="pageBreakPreview" topLeftCell="A60" zoomScaleNormal="100" zoomScaleSheetLayoutView="100" workbookViewId="0">
      <selection activeCell="A92" sqref="A92"/>
    </sheetView>
  </sheetViews>
  <sheetFormatPr defaultColWidth="9" defaultRowHeight="12" x14ac:dyDescent="0.2"/>
  <cols>
    <col min="1" max="1" width="5.125" style="48" customWidth="1"/>
    <col min="2" max="2" width="2.375" style="48" customWidth="1"/>
    <col min="3" max="3" width="29.375" style="48" customWidth="1"/>
    <col min="4" max="4" width="4" style="48" bestFit="1" customWidth="1"/>
    <col min="5" max="5" width="8.625" style="48" bestFit="1" customWidth="1"/>
    <col min="6" max="6" width="8.125" style="48" customWidth="1"/>
    <col min="7" max="7" width="8.625" style="48" bestFit="1" customWidth="1"/>
    <col min="8" max="8" width="0.875" style="48" customWidth="1"/>
    <col min="9" max="11" width="7.625" style="48" customWidth="1"/>
    <col min="12" max="12" width="9" style="48"/>
    <col min="13" max="13" width="14.125" style="94" bestFit="1" customWidth="1"/>
    <col min="14" max="14" width="11.125" style="94" bestFit="1" customWidth="1"/>
    <col min="15" max="15" width="11.125" style="48" customWidth="1"/>
    <col min="16" max="16" width="10.125" style="94" bestFit="1" customWidth="1"/>
    <col min="17" max="17" width="11.125" style="94" bestFit="1" customWidth="1"/>
    <col min="18" max="18" width="9" style="48"/>
    <col min="19" max="19" width="12.375" style="48" bestFit="1" customWidth="1"/>
    <col min="20" max="16384" width="9" style="48"/>
  </cols>
  <sheetData>
    <row r="1" spans="1:17" s="149" customFormat="1" x14ac:dyDescent="0.25">
      <c r="A1" s="151" t="str">
        <f>CF!A1:H1</f>
        <v>PAKISTAN CASH MANAGEMENT FUND</v>
      </c>
      <c r="B1" s="151"/>
      <c r="C1" s="151"/>
      <c r="D1" s="151"/>
      <c r="E1" s="151"/>
      <c r="F1" s="151"/>
      <c r="G1" s="151"/>
      <c r="H1" s="151"/>
      <c r="I1" s="151"/>
      <c r="J1" s="151"/>
      <c r="K1" s="151"/>
      <c r="M1" s="5"/>
      <c r="N1" s="5"/>
      <c r="P1" s="5"/>
      <c r="Q1" s="5"/>
    </row>
    <row r="2" spans="1:17" s="149" customFormat="1" x14ac:dyDescent="0.25">
      <c r="A2" s="151" t="s">
        <v>71</v>
      </c>
      <c r="B2" s="151"/>
      <c r="C2" s="151"/>
      <c r="D2" s="151"/>
      <c r="E2" s="151"/>
      <c r="F2" s="151"/>
      <c r="G2" s="151"/>
      <c r="H2" s="151"/>
      <c r="I2" s="151"/>
      <c r="J2" s="151"/>
      <c r="K2" s="151"/>
      <c r="M2" s="5"/>
      <c r="N2" s="5"/>
      <c r="P2" s="5"/>
      <c r="Q2" s="5"/>
    </row>
    <row r="3" spans="1:17" s="149" customFormat="1" x14ac:dyDescent="0.25">
      <c r="A3" s="152" t="s">
        <v>715</v>
      </c>
      <c r="B3" s="151"/>
      <c r="C3" s="151"/>
      <c r="D3" s="151"/>
      <c r="E3" s="151"/>
      <c r="F3" s="151"/>
      <c r="G3" s="151"/>
      <c r="H3" s="151"/>
      <c r="I3" s="151"/>
      <c r="J3" s="151"/>
      <c r="K3" s="151"/>
      <c r="M3" s="5"/>
      <c r="N3" s="5"/>
      <c r="P3" s="5"/>
      <c r="Q3" s="5"/>
    </row>
    <row r="4" spans="1:17" s="149" customFormat="1" ht="12.75" x14ac:dyDescent="0.25">
      <c r="A4" s="150"/>
      <c r="B4" s="150"/>
      <c r="C4" s="150"/>
      <c r="D4" s="150"/>
      <c r="E4" s="150"/>
      <c r="F4" s="367"/>
      <c r="G4" s="150"/>
      <c r="H4" s="150"/>
      <c r="I4" s="150"/>
      <c r="J4" s="150"/>
      <c r="K4" s="150"/>
      <c r="M4" s="5"/>
      <c r="N4" s="5"/>
      <c r="P4" s="5"/>
      <c r="Q4" s="5"/>
    </row>
    <row r="5" spans="1:17" s="369" customFormat="1" ht="12.75" customHeight="1" x14ac:dyDescent="0.25">
      <c r="A5" s="367"/>
      <c r="B5" s="367"/>
      <c r="C5" s="367"/>
      <c r="D5" s="367"/>
      <c r="E5" s="735" t="s">
        <v>531</v>
      </c>
      <c r="F5" s="736"/>
      <c r="G5" s="737"/>
      <c r="H5" s="368"/>
      <c r="I5" s="735" t="s">
        <v>492</v>
      </c>
      <c r="J5" s="736"/>
      <c r="K5" s="737"/>
      <c r="M5" s="421"/>
      <c r="N5" s="421"/>
      <c r="P5" s="421"/>
      <c r="Q5" s="421"/>
    </row>
    <row r="6" spans="1:17" s="371" customFormat="1" ht="12.75" x14ac:dyDescent="0.25">
      <c r="A6" s="370"/>
      <c r="E6" s="738"/>
      <c r="F6" s="739"/>
      <c r="G6" s="740"/>
      <c r="H6" s="372"/>
      <c r="I6" s="738"/>
      <c r="J6" s="739"/>
      <c r="K6" s="740"/>
      <c r="M6" s="421"/>
      <c r="N6" s="421"/>
      <c r="P6" s="421"/>
      <c r="Q6" s="421"/>
    </row>
    <row r="7" spans="1:17" s="369" customFormat="1" ht="12.75" customHeight="1" x14ac:dyDescent="0.25">
      <c r="A7" s="374"/>
      <c r="E7" s="732" t="s">
        <v>69</v>
      </c>
      <c r="F7" s="732" t="s">
        <v>402</v>
      </c>
      <c r="G7" s="732" t="s">
        <v>70</v>
      </c>
      <c r="H7" s="373"/>
      <c r="I7" s="732" t="s">
        <v>69</v>
      </c>
      <c r="J7" s="732" t="s">
        <v>401</v>
      </c>
      <c r="K7" s="732" t="s">
        <v>70</v>
      </c>
      <c r="M7" s="421"/>
      <c r="N7" s="421"/>
      <c r="P7" s="421"/>
      <c r="Q7" s="421"/>
    </row>
    <row r="8" spans="1:17" s="369" customFormat="1" ht="18.600000000000001" customHeight="1" x14ac:dyDescent="0.25">
      <c r="A8" s="374"/>
      <c r="E8" s="733"/>
      <c r="F8" s="733"/>
      <c r="G8" s="733"/>
      <c r="H8" s="373"/>
      <c r="I8" s="733"/>
      <c r="J8" s="733"/>
      <c r="K8" s="733"/>
      <c r="M8" s="421"/>
      <c r="N8" s="421"/>
      <c r="O8" s="635"/>
      <c r="P8" s="421"/>
      <c r="Q8" s="421"/>
    </row>
    <row r="9" spans="1:17" s="369" customFormat="1" ht="12.75" x14ac:dyDescent="0.25">
      <c r="A9" s="374"/>
      <c r="E9" s="734"/>
      <c r="F9" s="734"/>
      <c r="G9" s="734"/>
      <c r="H9" s="373"/>
      <c r="I9" s="734"/>
      <c r="J9" s="734"/>
      <c r="K9" s="734"/>
      <c r="M9" s="421"/>
      <c r="N9" s="421"/>
      <c r="P9" s="421"/>
      <c r="Q9" s="421"/>
    </row>
    <row r="10" spans="1:17" s="371" customFormat="1" ht="12.75" x14ac:dyDescent="0.25">
      <c r="A10" s="370"/>
      <c r="E10" s="741" t="s">
        <v>68</v>
      </c>
      <c r="F10" s="742"/>
      <c r="G10" s="742"/>
      <c r="H10" s="742"/>
      <c r="I10" s="742"/>
      <c r="J10" s="742"/>
      <c r="K10" s="742"/>
      <c r="M10" s="421"/>
      <c r="N10" s="421"/>
      <c r="P10" s="421"/>
      <c r="Q10" s="421"/>
    </row>
    <row r="11" spans="1:17" s="140" customFormat="1" ht="11.25" x14ac:dyDescent="0.25">
      <c r="A11" s="350"/>
      <c r="E11" s="148"/>
      <c r="F11" s="147"/>
      <c r="G11" s="147"/>
      <c r="H11" s="147"/>
      <c r="I11" s="147"/>
      <c r="J11" s="147"/>
      <c r="K11" s="147"/>
      <c r="M11" s="68"/>
      <c r="N11" s="68"/>
      <c r="P11" s="68"/>
      <c r="Q11" s="68"/>
    </row>
    <row r="12" spans="1:17" s="320" customFormat="1" ht="11.25" x14ac:dyDescent="0.25">
      <c r="A12" s="351"/>
      <c r="E12" s="148"/>
      <c r="F12" s="147"/>
      <c r="G12" s="147"/>
      <c r="H12" s="147"/>
      <c r="I12" s="147"/>
      <c r="J12" s="147"/>
      <c r="K12" s="147"/>
      <c r="N12" s="68">
        <f>+N13+N21-N28</f>
        <v>303730416.92019993</v>
      </c>
      <c r="O12" s="68">
        <f>+N12-SAL!F30</f>
        <v>0.12139993906021118</v>
      </c>
      <c r="P12" s="68"/>
      <c r="Q12" s="68"/>
    </row>
    <row r="13" spans="1:17" s="140" customFormat="1" ht="11.25" x14ac:dyDescent="0.25">
      <c r="A13" s="351" t="s">
        <v>423</v>
      </c>
      <c r="B13" s="551"/>
      <c r="C13" s="551"/>
      <c r="D13" s="551"/>
      <c r="E13" s="548">
        <v>3101753</v>
      </c>
      <c r="F13" s="548">
        <v>16863</v>
      </c>
      <c r="G13" s="548">
        <v>3118616</v>
      </c>
      <c r="H13" s="375"/>
      <c r="I13" s="375">
        <v>3680763</v>
      </c>
      <c r="J13" s="375">
        <v>12512</v>
      </c>
      <c r="K13" s="375">
        <v>3693275</v>
      </c>
      <c r="N13" s="68">
        <f>+SAL!H30</f>
        <v>61794223</v>
      </c>
      <c r="O13" s="68"/>
      <c r="P13" s="68"/>
      <c r="Q13" s="68"/>
    </row>
    <row r="14" spans="1:17" s="140" customFormat="1" ht="15" hidden="1" customHeight="1" x14ac:dyDescent="0.2">
      <c r="A14" s="350"/>
      <c r="E14" s="387"/>
      <c r="F14" s="387"/>
      <c r="G14" s="387"/>
      <c r="H14" s="387"/>
      <c r="I14" s="387"/>
      <c r="J14" s="387"/>
      <c r="K14" s="387"/>
      <c r="M14" s="68"/>
      <c r="N14" s="68"/>
      <c r="P14" s="68"/>
      <c r="Q14" s="68"/>
    </row>
    <row r="15" spans="1:17" s="140" customFormat="1" ht="15" hidden="1" customHeight="1" x14ac:dyDescent="0.2">
      <c r="E15" s="387"/>
      <c r="F15" s="387"/>
      <c r="G15" s="387"/>
      <c r="H15" s="387"/>
      <c r="I15" s="387"/>
      <c r="J15" s="387"/>
      <c r="K15" s="387"/>
      <c r="M15" s="68"/>
      <c r="N15" s="68"/>
      <c r="P15" s="68"/>
      <c r="Q15" s="68"/>
    </row>
    <row r="16" spans="1:17" s="140" customFormat="1" ht="15" hidden="1" customHeight="1" x14ac:dyDescent="0.2">
      <c r="E16" s="387"/>
      <c r="F16" s="387"/>
      <c r="G16" s="387"/>
      <c r="H16" s="387"/>
      <c r="I16" s="387"/>
      <c r="J16" s="387"/>
      <c r="K16" s="387"/>
      <c r="M16" s="68"/>
      <c r="N16" s="68"/>
      <c r="P16" s="68"/>
      <c r="Q16" s="68"/>
    </row>
    <row r="17" spans="1:19" s="140" customFormat="1" ht="15" hidden="1" customHeight="1" x14ac:dyDescent="0.2">
      <c r="E17" s="387"/>
      <c r="F17" s="387"/>
      <c r="G17" s="387"/>
      <c r="H17" s="387"/>
      <c r="I17" s="387"/>
      <c r="J17" s="387"/>
      <c r="K17" s="387"/>
      <c r="M17" s="68"/>
      <c r="N17" s="68"/>
      <c r="P17" s="68"/>
      <c r="Q17" s="68"/>
    </row>
    <row r="18" spans="1:19" s="140" customFormat="1" ht="15" hidden="1" customHeight="1" x14ac:dyDescent="0.2">
      <c r="E18" s="387"/>
      <c r="F18" s="387"/>
      <c r="G18" s="387"/>
      <c r="H18" s="387"/>
      <c r="I18" s="387"/>
      <c r="J18" s="387"/>
      <c r="K18" s="387"/>
      <c r="M18" s="68"/>
      <c r="N18" s="68"/>
      <c r="P18" s="68"/>
      <c r="Q18" s="68"/>
    </row>
    <row r="19" spans="1:19" s="140" customFormat="1" ht="11.25" x14ac:dyDescent="0.2">
      <c r="E19" s="387"/>
      <c r="F19" s="387"/>
      <c r="G19" s="387"/>
      <c r="H19" s="387"/>
      <c r="I19" s="387"/>
      <c r="J19" s="387"/>
      <c r="K19" s="387"/>
      <c r="M19" s="68"/>
      <c r="N19" s="68"/>
      <c r="P19" s="68"/>
      <c r="Q19" s="68"/>
    </row>
    <row r="20" spans="1:19" s="140" customFormat="1" ht="11.25" x14ac:dyDescent="0.25">
      <c r="A20" s="320" t="s">
        <v>891</v>
      </c>
      <c r="E20" s="376"/>
      <c r="F20" s="376"/>
      <c r="G20" s="376"/>
      <c r="H20" s="376"/>
      <c r="I20" s="376"/>
      <c r="J20" s="376"/>
      <c r="K20" s="376"/>
      <c r="M20" s="595" t="s">
        <v>291</v>
      </c>
      <c r="N20" s="595" t="s">
        <v>292</v>
      </c>
      <c r="O20" s="596" t="s">
        <v>293</v>
      </c>
      <c r="P20" s="595" t="s">
        <v>294</v>
      </c>
      <c r="Q20" s="595" t="s">
        <v>295</v>
      </c>
      <c r="R20" s="597"/>
      <c r="S20" s="598"/>
    </row>
    <row r="21" spans="1:19" s="140" customFormat="1" ht="11.25" x14ac:dyDescent="0.25">
      <c r="A21" s="353" t="s">
        <v>67</v>
      </c>
      <c r="E21" s="376"/>
      <c r="F21" s="376"/>
      <c r="G21" s="376"/>
      <c r="H21" s="376"/>
      <c r="I21" s="376"/>
      <c r="J21" s="376"/>
      <c r="K21" s="376"/>
      <c r="M21" s="599">
        <f>ROUND('UHF Working'!$C$12/1000,0)-1</f>
        <v>38932037</v>
      </c>
      <c r="N21" s="599">
        <f>'UHF Working'!D12</f>
        <v>770270977.48740005</v>
      </c>
      <c r="O21" s="600">
        <f>SAL!$H$34</f>
        <v>50.467799999999997</v>
      </c>
      <c r="P21" s="599">
        <f>S21/1000</f>
        <v>38873881.637638606</v>
      </c>
      <c r="Q21" s="599">
        <f>M21-P21</f>
        <v>58155.362361393869</v>
      </c>
      <c r="R21" s="597"/>
      <c r="S21" s="601">
        <f>+O21*N21</f>
        <v>38873881637.638603</v>
      </c>
    </row>
    <row r="22" spans="1:19" s="140" customFormat="1" ht="11.25" x14ac:dyDescent="0.25">
      <c r="A22" s="354" t="s">
        <v>66</v>
      </c>
      <c r="E22" s="377"/>
      <c r="F22" s="377"/>
      <c r="G22" s="377"/>
      <c r="H22" s="376"/>
      <c r="I22" s="377"/>
      <c r="J22" s="377"/>
      <c r="K22" s="377"/>
      <c r="M22" s="68"/>
      <c r="N22" s="68"/>
      <c r="P22" s="68"/>
      <c r="Q22" s="68"/>
    </row>
    <row r="23" spans="1:19" s="140" customFormat="1" ht="11.25" x14ac:dyDescent="0.25">
      <c r="A23" s="355" t="s">
        <v>428</v>
      </c>
      <c r="E23" s="378">
        <f>P21</f>
        <v>38873881.637638606</v>
      </c>
      <c r="F23" s="378">
        <v>0</v>
      </c>
      <c r="G23" s="378">
        <f>E23+F23</f>
        <v>38873881.637638606</v>
      </c>
      <c r="H23" s="376"/>
      <c r="I23" s="378">
        <v>5655841</v>
      </c>
      <c r="J23" s="378">
        <v>0</v>
      </c>
      <c r="K23" s="378">
        <f>+I23</f>
        <v>5655841</v>
      </c>
      <c r="M23" s="68"/>
      <c r="N23" s="68"/>
      <c r="P23" s="68"/>
      <c r="Q23" s="68"/>
    </row>
    <row r="24" spans="1:19" s="140" customFormat="1" ht="11.25" x14ac:dyDescent="0.25">
      <c r="A24" s="353" t="s">
        <v>65</v>
      </c>
      <c r="E24" s="379">
        <f>Q21</f>
        <v>58155.362361393869</v>
      </c>
      <c r="F24" s="379">
        <v>0</v>
      </c>
      <c r="G24" s="379">
        <f>E24+F24</f>
        <v>58155.362361393869</v>
      </c>
      <c r="H24" s="376"/>
      <c r="I24" s="379">
        <v>139556</v>
      </c>
      <c r="J24" s="379">
        <v>0</v>
      </c>
      <c r="K24" s="379">
        <f>+I24</f>
        <v>139556</v>
      </c>
      <c r="M24" s="68"/>
      <c r="N24" s="68"/>
      <c r="P24" s="68"/>
      <c r="Q24" s="68"/>
    </row>
    <row r="25" spans="1:19" s="140" customFormat="1" ht="11.25" x14ac:dyDescent="0.25">
      <c r="E25" s="376">
        <f>SUM(E23:E24)</f>
        <v>38932037</v>
      </c>
      <c r="F25" s="376">
        <f>SUM(F23:F24)</f>
        <v>0</v>
      </c>
      <c r="G25" s="376">
        <f>SUM(G23:G24)</f>
        <v>38932037</v>
      </c>
      <c r="H25" s="376"/>
      <c r="I25" s="546">
        <f>SUM(I23:I24)</f>
        <v>5795397</v>
      </c>
      <c r="J25" s="376">
        <v>0</v>
      </c>
      <c r="K25" s="546">
        <f>SUM(K23:K24)</f>
        <v>5795397</v>
      </c>
      <c r="M25" s="68"/>
      <c r="N25" s="68"/>
      <c r="P25" s="68"/>
      <c r="Q25" s="68"/>
    </row>
    <row r="26" spans="1:19" s="140" customFormat="1" ht="11.25" x14ac:dyDescent="0.2">
      <c r="E26" s="388"/>
      <c r="F26" s="388"/>
      <c r="G26" s="388"/>
      <c r="H26" s="388"/>
      <c r="I26" s="388"/>
      <c r="J26" s="388"/>
      <c r="K26" s="388"/>
      <c r="M26" s="68"/>
      <c r="N26" s="68"/>
      <c r="P26" s="68"/>
      <c r="Q26" s="68"/>
    </row>
    <row r="27" spans="1:19" s="140" customFormat="1" ht="11.25" x14ac:dyDescent="0.25">
      <c r="A27" s="320" t="s">
        <v>892</v>
      </c>
      <c r="E27" s="376"/>
      <c r="F27" s="376"/>
      <c r="G27" s="376"/>
      <c r="H27" s="376"/>
      <c r="I27" s="376"/>
      <c r="J27" s="376"/>
      <c r="K27" s="376"/>
      <c r="M27" s="595" t="s">
        <v>296</v>
      </c>
      <c r="N27" s="595" t="s">
        <v>297</v>
      </c>
      <c r="O27" s="596" t="s">
        <v>293</v>
      </c>
      <c r="P27" s="595" t="s">
        <v>294</v>
      </c>
      <c r="Q27" s="595" t="s">
        <v>298</v>
      </c>
      <c r="R27" s="597"/>
      <c r="S27" s="597"/>
    </row>
    <row r="28" spans="1:19" s="140" customFormat="1" ht="11.25" x14ac:dyDescent="0.25">
      <c r="A28" s="354" t="s">
        <v>66</v>
      </c>
      <c r="E28" s="377"/>
      <c r="F28" s="377"/>
      <c r="G28" s="377"/>
      <c r="H28" s="376"/>
      <c r="I28" s="377"/>
      <c r="J28" s="377"/>
      <c r="K28" s="377"/>
      <c r="M28" s="599">
        <f>ROUND(-'UHF Working'!$C$29/1000,0)</f>
        <v>26685154</v>
      </c>
      <c r="N28" s="599">
        <f>-'UHF Working'!D29</f>
        <v>528334783.56720012</v>
      </c>
      <c r="O28" s="600">
        <f>O21</f>
        <v>50.467799999999997</v>
      </c>
      <c r="P28" s="599">
        <f>+S28/1000</f>
        <v>26663894.19011274</v>
      </c>
      <c r="Q28" s="599">
        <f>M28-P28</f>
        <v>21259.809887260199</v>
      </c>
      <c r="R28" s="597"/>
      <c r="S28" s="601">
        <f>+O28*N28</f>
        <v>26663894190.11274</v>
      </c>
    </row>
    <row r="29" spans="1:19" s="140" customFormat="1" ht="11.25" x14ac:dyDescent="0.25">
      <c r="A29" s="355" t="s">
        <v>428</v>
      </c>
      <c r="E29" s="378">
        <f>-P28</f>
        <v>-26663894.19011274</v>
      </c>
      <c r="F29" s="378">
        <v>0</v>
      </c>
      <c r="G29" s="378">
        <f t="shared" ref="G29" si="0">E29+F29</f>
        <v>-26663894.19011274</v>
      </c>
      <c r="H29" s="376"/>
      <c r="I29" s="378">
        <v>-6670392</v>
      </c>
      <c r="J29" s="378">
        <v>0</v>
      </c>
      <c r="K29" s="378">
        <f t="shared" ref="K29" si="1">I29+J29</f>
        <v>-6670392</v>
      </c>
      <c r="M29" s="68"/>
      <c r="N29" s="68"/>
      <c r="P29" s="68"/>
      <c r="Q29" s="68"/>
    </row>
    <row r="30" spans="1:19" s="140" customFormat="1" ht="11.25" x14ac:dyDescent="0.25">
      <c r="A30" s="353" t="s">
        <v>65</v>
      </c>
      <c r="E30" s="73">
        <f>+G30-F30</f>
        <v>-6460.8098872601986</v>
      </c>
      <c r="F30" s="379">
        <f>IS!E64</f>
        <v>-14799</v>
      </c>
      <c r="G30" s="379">
        <f>-Q28</f>
        <v>-21259.809887260199</v>
      </c>
      <c r="H30" s="376"/>
      <c r="I30" s="379">
        <v>-76383</v>
      </c>
      <c r="J30" s="379">
        <v>-4073</v>
      </c>
      <c r="K30" s="379">
        <f>I30+J30</f>
        <v>-80456</v>
      </c>
      <c r="M30" s="68"/>
      <c r="N30" s="68"/>
      <c r="P30" s="68"/>
      <c r="Q30" s="68"/>
    </row>
    <row r="31" spans="1:19" s="140" customFormat="1" ht="11.25" x14ac:dyDescent="0.25">
      <c r="E31" s="376">
        <f>SUM(E29:E30)</f>
        <v>-26670355</v>
      </c>
      <c r="F31" s="376">
        <f>SUM(F29:F30)</f>
        <v>-14799</v>
      </c>
      <c r="G31" s="376">
        <f>SUM(G29:G30)</f>
        <v>-26685154</v>
      </c>
      <c r="H31" s="376"/>
      <c r="I31" s="546">
        <f>SUM(I29:I30)</f>
        <v>-6746775</v>
      </c>
      <c r="J31" s="376">
        <f>SUM(J29:J30)</f>
        <v>-4073</v>
      </c>
      <c r="K31" s="546">
        <f>SUM(K29:K30)</f>
        <v>-6750848</v>
      </c>
      <c r="M31" s="68"/>
      <c r="N31" s="68"/>
      <c r="P31" s="68"/>
      <c r="Q31" s="68"/>
    </row>
    <row r="32" spans="1:19" s="140" customFormat="1" ht="15" hidden="1" customHeight="1" x14ac:dyDescent="0.25">
      <c r="A32" s="140" t="s">
        <v>32</v>
      </c>
      <c r="E32" s="376"/>
      <c r="F32" s="376"/>
      <c r="G32" s="376"/>
      <c r="H32" s="376"/>
      <c r="I32" s="376"/>
      <c r="J32" s="376"/>
      <c r="K32" s="376"/>
      <c r="M32" s="68"/>
      <c r="N32" s="68"/>
      <c r="P32" s="68"/>
      <c r="Q32" s="68"/>
    </row>
    <row r="33" spans="1:17" s="140" customFormat="1" ht="15" hidden="1" customHeight="1" x14ac:dyDescent="0.25">
      <c r="A33" s="353" t="s">
        <v>31</v>
      </c>
      <c r="E33" s="376"/>
      <c r="F33" s="376"/>
      <c r="G33" s="376"/>
      <c r="H33" s="376"/>
      <c r="I33" s="376"/>
      <c r="J33" s="376"/>
      <c r="K33" s="376"/>
      <c r="M33" s="68"/>
      <c r="N33" s="68"/>
      <c r="P33" s="68"/>
      <c r="Q33" s="68"/>
    </row>
    <row r="34" spans="1:17" s="140" customFormat="1" ht="11.25" x14ac:dyDescent="0.2">
      <c r="E34" s="387"/>
      <c r="F34" s="387"/>
      <c r="G34" s="387"/>
      <c r="H34" s="387"/>
      <c r="I34" s="387"/>
      <c r="J34" s="387"/>
      <c r="K34" s="387"/>
      <c r="M34" s="68"/>
      <c r="N34" s="68"/>
      <c r="P34" s="68"/>
      <c r="Q34" s="68"/>
    </row>
    <row r="35" spans="1:17" s="140" customFormat="1" ht="16.5" hidden="1" customHeight="1" x14ac:dyDescent="0.2">
      <c r="A35" s="140" t="s">
        <v>32</v>
      </c>
      <c r="E35" s="387"/>
      <c r="F35" s="387"/>
      <c r="G35" s="387"/>
      <c r="H35" s="387"/>
      <c r="I35" s="387"/>
      <c r="J35" s="387"/>
      <c r="K35" s="387"/>
      <c r="M35" s="68"/>
      <c r="N35" s="68"/>
      <c r="P35" s="68"/>
      <c r="Q35" s="68"/>
    </row>
    <row r="36" spans="1:17" s="140" customFormat="1" ht="16.5" hidden="1" customHeight="1" x14ac:dyDescent="0.25">
      <c r="A36" s="353" t="s">
        <v>31</v>
      </c>
      <c r="E36" s="380"/>
      <c r="F36" s="380"/>
      <c r="G36" s="380"/>
      <c r="H36" s="380"/>
      <c r="I36" s="380"/>
      <c r="J36" s="380"/>
      <c r="K36" s="380"/>
      <c r="M36" s="68"/>
      <c r="N36" s="68"/>
      <c r="P36" s="68"/>
      <c r="Q36" s="68"/>
    </row>
    <row r="37" spans="1:17" s="140" customFormat="1" ht="16.5" hidden="1" customHeight="1" x14ac:dyDescent="0.2">
      <c r="E37" s="387"/>
      <c r="F37" s="387"/>
      <c r="G37" s="387"/>
      <c r="H37" s="387"/>
      <c r="I37" s="387"/>
      <c r="J37" s="387"/>
      <c r="K37" s="387"/>
      <c r="M37" s="68"/>
      <c r="N37" s="68"/>
      <c r="P37" s="68"/>
      <c r="Q37" s="68"/>
    </row>
    <row r="38" spans="1:17" s="140" customFormat="1" ht="8.1" hidden="1" customHeight="1" x14ac:dyDescent="0.2">
      <c r="E38" s="387"/>
      <c r="F38" s="387"/>
      <c r="G38" s="387"/>
      <c r="H38" s="387"/>
      <c r="I38" s="387"/>
      <c r="J38" s="387"/>
      <c r="K38" s="387"/>
      <c r="M38" s="68"/>
      <c r="N38" s="68"/>
      <c r="P38" s="68"/>
      <c r="Q38" s="68"/>
    </row>
    <row r="39" spans="1:17" s="140" customFormat="1" ht="17.100000000000001" hidden="1" customHeight="1" x14ac:dyDescent="0.2">
      <c r="A39" s="356" t="s">
        <v>27</v>
      </c>
      <c r="E39" s="387"/>
      <c r="F39" s="387"/>
      <c r="G39" s="387"/>
      <c r="H39" s="387"/>
      <c r="I39" s="387"/>
      <c r="J39" s="387"/>
      <c r="K39" s="387"/>
      <c r="M39" s="68"/>
      <c r="N39" s="68"/>
      <c r="P39" s="68"/>
      <c r="Q39" s="68"/>
    </row>
    <row r="40" spans="1:17" s="140" customFormat="1" ht="11.25" x14ac:dyDescent="0.25">
      <c r="A40" s="357" t="s">
        <v>52</v>
      </c>
      <c r="B40" s="352"/>
      <c r="C40" s="352"/>
      <c r="D40" s="352"/>
      <c r="E40" s="376">
        <v>0</v>
      </c>
      <c r="F40" s="376">
        <f>SOCI!E10</f>
        <v>504333</v>
      </c>
      <c r="G40" s="376">
        <f>SUM(E40:F40)</f>
        <v>504333</v>
      </c>
      <c r="H40" s="376"/>
      <c r="I40" s="376">
        <v>0</v>
      </c>
      <c r="J40" s="546">
        <v>122101</v>
      </c>
      <c r="K40" s="546">
        <v>122101</v>
      </c>
      <c r="M40" s="68"/>
      <c r="N40" s="68"/>
      <c r="P40" s="68"/>
      <c r="Q40" s="68"/>
    </row>
    <row r="41" spans="1:17" s="320" customFormat="1" ht="11.25" x14ac:dyDescent="0.25">
      <c r="A41" s="357"/>
      <c r="B41" s="352"/>
      <c r="C41" s="352"/>
      <c r="D41" s="352"/>
      <c r="E41" s="376"/>
      <c r="F41" s="376"/>
      <c r="G41" s="376"/>
      <c r="H41" s="376"/>
      <c r="I41" s="376"/>
      <c r="J41" s="376"/>
      <c r="K41" s="376"/>
      <c r="M41" s="68"/>
      <c r="N41" s="68"/>
      <c r="P41" s="68"/>
      <c r="Q41" s="68"/>
    </row>
    <row r="42" spans="1:17" s="320" customFormat="1" ht="11.25" x14ac:dyDescent="0.15">
      <c r="A42" s="611"/>
      <c r="B42" s="551"/>
      <c r="C42" s="551"/>
      <c r="D42" s="551"/>
      <c r="E42" s="377"/>
      <c r="F42" s="377"/>
      <c r="G42" s="377"/>
      <c r="H42" s="546"/>
      <c r="I42" s="377"/>
      <c r="J42" s="377"/>
      <c r="K42" s="377"/>
      <c r="L42" s="548">
        <f>G25-G31-F51</f>
        <v>66106673.694669999</v>
      </c>
      <c r="M42" s="68"/>
      <c r="N42" s="68"/>
      <c r="P42" s="68"/>
      <c r="Q42" s="68"/>
    </row>
    <row r="43" spans="1:17" s="549" customFormat="1" ht="11.25" x14ac:dyDescent="0.15">
      <c r="A43" s="611" t="s">
        <v>705</v>
      </c>
      <c r="B43" s="551"/>
      <c r="C43" s="551"/>
      <c r="D43" s="551" t="str">
        <f>'Notes (remaining)'!A513</f>
        <v>14</v>
      </c>
      <c r="E43" s="378"/>
      <c r="F43" s="378">
        <f>-'Notes (remaining)'!I530</f>
        <v>-489482.69467000011</v>
      </c>
      <c r="G43" s="378">
        <f>E43+F43</f>
        <v>-489482.69467000011</v>
      </c>
      <c r="H43" s="546"/>
      <c r="I43" s="378"/>
      <c r="J43" s="378"/>
      <c r="K43" s="378"/>
      <c r="L43" s="548"/>
      <c r="M43" s="68"/>
      <c r="N43" s="68"/>
      <c r="P43" s="68"/>
      <c r="Q43" s="68"/>
    </row>
    <row r="44" spans="1:17" s="549" customFormat="1" ht="11.25" x14ac:dyDescent="0.15">
      <c r="A44" s="611" t="s">
        <v>704</v>
      </c>
      <c r="B44" s="551"/>
      <c r="C44" s="551"/>
      <c r="D44" s="551"/>
      <c r="E44" s="378">
        <f>-TB!L47</f>
        <v>-51743</v>
      </c>
      <c r="F44" s="378">
        <v>0</v>
      </c>
      <c r="G44" s="378">
        <f>SUM(E44:F44)</f>
        <v>-51743</v>
      </c>
      <c r="H44" s="546"/>
      <c r="I44" s="378"/>
      <c r="K44" s="378"/>
      <c r="M44" s="68"/>
      <c r="N44" s="68"/>
      <c r="P44" s="68"/>
      <c r="Q44" s="68"/>
    </row>
    <row r="45" spans="1:17" s="549" customFormat="1" ht="11.25" x14ac:dyDescent="0.15">
      <c r="A45" s="611"/>
      <c r="B45" s="551"/>
      <c r="C45" s="551"/>
      <c r="D45" s="551"/>
      <c r="E45" s="378"/>
      <c r="F45" s="378"/>
      <c r="G45" s="378"/>
      <c r="H45" s="546"/>
      <c r="I45" s="378"/>
      <c r="K45" s="378"/>
      <c r="M45" s="68"/>
      <c r="N45" s="68"/>
      <c r="P45" s="68"/>
      <c r="Q45" s="68"/>
    </row>
    <row r="46" spans="1:17" s="549" customFormat="1" ht="11.25" x14ac:dyDescent="0.15">
      <c r="A46" s="611" t="s">
        <v>706</v>
      </c>
      <c r="B46" s="551"/>
      <c r="C46" s="551"/>
      <c r="D46" s="551"/>
      <c r="E46" s="378"/>
      <c r="F46" s="378"/>
      <c r="G46" s="378"/>
      <c r="H46" s="546"/>
      <c r="I46" s="378"/>
      <c r="K46" s="378"/>
      <c r="M46" s="68"/>
      <c r="N46" s="68"/>
      <c r="P46" s="68"/>
      <c r="Q46" s="68"/>
    </row>
    <row r="47" spans="1:17" s="549" customFormat="1" ht="11.25" x14ac:dyDescent="0.15">
      <c r="A47" s="612" t="s">
        <v>652</v>
      </c>
      <c r="B47" s="551"/>
      <c r="C47" s="551"/>
      <c r="D47" s="551"/>
      <c r="E47" s="378"/>
      <c r="F47" s="378"/>
      <c r="G47" s="378"/>
      <c r="H47" s="546"/>
      <c r="I47" s="378">
        <v>-37</v>
      </c>
      <c r="J47" s="68">
        <v>-13845</v>
      </c>
      <c r="K47" s="378">
        <f>I47+J47</f>
        <v>-13882</v>
      </c>
      <c r="M47" s="68"/>
      <c r="N47" s="68"/>
      <c r="P47" s="68"/>
      <c r="Q47" s="68"/>
    </row>
    <row r="48" spans="1:17" s="549" customFormat="1" ht="11.25" x14ac:dyDescent="0.15">
      <c r="A48" s="612" t="s">
        <v>653</v>
      </c>
      <c r="B48" s="551"/>
      <c r="C48" s="551"/>
      <c r="D48" s="551"/>
      <c r="E48" s="378"/>
      <c r="F48" s="378"/>
      <c r="G48" s="378"/>
      <c r="H48" s="546"/>
      <c r="I48" s="378">
        <v>-62268</v>
      </c>
      <c r="J48" s="68">
        <v>-77701</v>
      </c>
      <c r="K48" s="378">
        <f t="shared" ref="K48:K49" si="2">I48+J48</f>
        <v>-139969</v>
      </c>
      <c r="M48" s="68"/>
      <c r="N48" s="68"/>
      <c r="P48" s="68"/>
      <c r="Q48" s="68"/>
    </row>
    <row r="49" spans="1:17" s="549" customFormat="1" ht="11.25" x14ac:dyDescent="0.15">
      <c r="A49" s="612" t="s">
        <v>654</v>
      </c>
      <c r="B49" s="551"/>
      <c r="C49" s="551"/>
      <c r="D49" s="551"/>
      <c r="E49" s="378"/>
      <c r="F49" s="378"/>
      <c r="G49" s="378"/>
      <c r="H49" s="546"/>
      <c r="I49" s="378">
        <v>-374</v>
      </c>
      <c r="J49" s="74">
        <v>-18438</v>
      </c>
      <c r="K49" s="378">
        <f t="shared" si="2"/>
        <v>-18812</v>
      </c>
      <c r="M49" s="68"/>
      <c r="N49" s="68"/>
      <c r="P49" s="68"/>
      <c r="Q49" s="68"/>
    </row>
    <row r="50" spans="1:17" s="320" customFormat="1" ht="9.9499999999999993" customHeight="1" x14ac:dyDescent="0.15">
      <c r="A50" s="612"/>
      <c r="B50" s="551"/>
      <c r="C50" s="551"/>
      <c r="D50" s="551"/>
      <c r="E50" s="379"/>
      <c r="F50" s="379"/>
      <c r="G50" s="379"/>
      <c r="H50" s="546"/>
      <c r="I50" s="379"/>
      <c r="J50" s="379"/>
      <c r="K50" s="379"/>
      <c r="M50" s="68"/>
      <c r="N50" s="68"/>
      <c r="P50" s="68"/>
      <c r="Q50" s="68"/>
    </row>
    <row r="51" spans="1:17" s="140" customFormat="1" ht="11.25" x14ac:dyDescent="0.2">
      <c r="A51" s="549"/>
      <c r="B51" s="551"/>
      <c r="C51" s="551"/>
      <c r="D51" s="551"/>
      <c r="E51" s="387">
        <f>SUM(E42:E50)</f>
        <v>-51743</v>
      </c>
      <c r="F51" s="387">
        <f>SUM(F42:F50)</f>
        <v>-489482.69467000011</v>
      </c>
      <c r="G51" s="387">
        <f>SUM(G42:G50)</f>
        <v>-541225.69467000011</v>
      </c>
      <c r="H51" s="387"/>
      <c r="I51" s="387">
        <f>SUM(I42:I50)</f>
        <v>-62679</v>
      </c>
      <c r="J51" s="387">
        <f>SUM(J42:J50)</f>
        <v>-109984</v>
      </c>
      <c r="K51" s="387">
        <f>SUM(K42:K50)</f>
        <v>-172663</v>
      </c>
      <c r="L51" s="350" t="s">
        <v>305</v>
      </c>
      <c r="M51" s="68"/>
      <c r="N51" s="68"/>
      <c r="P51" s="68"/>
      <c r="Q51" s="68"/>
    </row>
    <row r="52" spans="1:17" s="549" customFormat="1" ht="11.25" x14ac:dyDescent="0.2">
      <c r="B52" s="551"/>
      <c r="C52" s="551"/>
      <c r="D52" s="551"/>
      <c r="E52" s="387"/>
      <c r="F52" s="387"/>
      <c r="G52" s="387"/>
      <c r="H52" s="387"/>
      <c r="I52" s="387"/>
      <c r="J52" s="387"/>
      <c r="K52" s="387"/>
      <c r="L52" s="350"/>
      <c r="M52" s="68"/>
      <c r="N52" s="68"/>
      <c r="P52" s="68"/>
      <c r="Q52" s="68"/>
    </row>
    <row r="53" spans="1:17" s="350" customFormat="1" thickBot="1" x14ac:dyDescent="0.3">
      <c r="A53" s="351" t="s">
        <v>424</v>
      </c>
      <c r="B53" s="351"/>
      <c r="C53" s="351"/>
      <c r="D53" s="351"/>
      <c r="E53" s="381">
        <f>E13+E25+E31+E40+E51</f>
        <v>15311692</v>
      </c>
      <c r="F53" s="381">
        <f>F13+F25+F31+F40+F51</f>
        <v>16914.305329999886</v>
      </c>
      <c r="G53" s="381">
        <f>G13+G25+G31+G40+G51</f>
        <v>15328606.305330001</v>
      </c>
      <c r="H53" s="376"/>
      <c r="I53" s="381">
        <f>I13+I25+I31+I40+I51</f>
        <v>2666706</v>
      </c>
      <c r="J53" s="381">
        <f>J13+J25+J31+J40+J51</f>
        <v>20556</v>
      </c>
      <c r="K53" s="381">
        <f>K13+K25+K31+K40+K51</f>
        <v>2687262</v>
      </c>
      <c r="L53" s="481">
        <f>+G53-SAL!F22</f>
        <v>0.78532999940216541</v>
      </c>
      <c r="M53" s="422"/>
      <c r="N53" s="422">
        <f>G53-1362301</f>
        <v>13966305.305330001</v>
      </c>
      <c r="P53" s="422"/>
      <c r="Q53" s="422"/>
    </row>
    <row r="54" spans="1:17" s="140" customFormat="1" thickTop="1" x14ac:dyDescent="0.2">
      <c r="B54" s="352"/>
      <c r="C54" s="352"/>
      <c r="D54" s="352"/>
      <c r="E54" s="387"/>
      <c r="F54" s="387"/>
      <c r="G54" s="387"/>
      <c r="H54" s="387"/>
      <c r="I54" s="387"/>
      <c r="J54" s="387"/>
      <c r="K54" s="387"/>
      <c r="L54" s="140">
        <f>2662609+24605</f>
        <v>2687214</v>
      </c>
      <c r="M54" s="68"/>
      <c r="N54" s="68"/>
      <c r="P54" s="68"/>
      <c r="Q54" s="68"/>
    </row>
    <row r="55" spans="1:17" s="140" customFormat="1" ht="16.5" hidden="1" customHeight="1" x14ac:dyDescent="0.2">
      <c r="A55" s="140" t="s">
        <v>64</v>
      </c>
      <c r="B55" s="352"/>
      <c r="C55" s="352"/>
      <c r="D55" s="352"/>
      <c r="E55" s="387"/>
      <c r="F55" s="387"/>
      <c r="G55" s="387"/>
      <c r="H55" s="387"/>
      <c r="I55" s="387"/>
      <c r="J55" s="387">
        <v>0</v>
      </c>
      <c r="K55" s="387"/>
      <c r="M55" s="68"/>
      <c r="N55" s="68"/>
      <c r="P55" s="68"/>
      <c r="Q55" s="68"/>
    </row>
    <row r="56" spans="1:17" s="140" customFormat="1" ht="16.5" hidden="1" customHeight="1" x14ac:dyDescent="0.2">
      <c r="B56" s="352"/>
      <c r="C56" s="352"/>
      <c r="D56" s="352"/>
      <c r="E56" s="387"/>
      <c r="F56" s="387"/>
      <c r="G56" s="387"/>
      <c r="H56" s="387"/>
      <c r="I56" s="387"/>
      <c r="J56" s="387"/>
      <c r="K56" s="387"/>
      <c r="M56" s="68"/>
      <c r="N56" s="68"/>
      <c r="P56" s="68"/>
      <c r="Q56" s="68"/>
    </row>
    <row r="57" spans="1:17" s="140" customFormat="1" ht="11.25" x14ac:dyDescent="0.2">
      <c r="A57" s="350" t="s">
        <v>386</v>
      </c>
      <c r="B57" s="352"/>
      <c r="C57" s="352"/>
      <c r="D57" s="352"/>
      <c r="E57" s="387"/>
      <c r="F57" s="387"/>
      <c r="G57" s="387"/>
      <c r="H57" s="387"/>
      <c r="I57" s="387"/>
      <c r="J57" s="387"/>
      <c r="K57" s="387"/>
      <c r="M57" s="68"/>
      <c r="N57" s="68"/>
      <c r="P57" s="68"/>
      <c r="Q57" s="68"/>
    </row>
    <row r="58" spans="1:17" s="140" customFormat="1" ht="11.25" x14ac:dyDescent="0.2">
      <c r="A58" s="354" t="s">
        <v>61</v>
      </c>
      <c r="B58" s="352"/>
      <c r="C58" s="352"/>
      <c r="D58" s="352"/>
      <c r="E58" s="387"/>
      <c r="F58" s="382">
        <v>16863</v>
      </c>
      <c r="G58" s="388"/>
      <c r="H58" s="388"/>
      <c r="I58" s="387"/>
      <c r="J58" s="382">
        <v>12512</v>
      </c>
      <c r="K58" s="388"/>
      <c r="M58" s="68"/>
      <c r="N58" s="68"/>
      <c r="P58" s="68"/>
      <c r="Q58" s="68"/>
    </row>
    <row r="59" spans="1:17" s="140" customFormat="1" ht="11.25" x14ac:dyDescent="0.2">
      <c r="A59" s="358" t="s">
        <v>387</v>
      </c>
      <c r="B59" s="352"/>
      <c r="C59" s="352"/>
      <c r="D59" s="352"/>
      <c r="E59" s="387"/>
      <c r="F59" s="383">
        <v>0</v>
      </c>
      <c r="G59" s="388"/>
      <c r="H59" s="388"/>
      <c r="I59" s="387"/>
      <c r="J59" s="383">
        <v>0</v>
      </c>
      <c r="K59" s="388"/>
      <c r="M59" s="68"/>
      <c r="N59" s="68"/>
      <c r="P59" s="68"/>
      <c r="Q59" s="68"/>
    </row>
    <row r="60" spans="1:17" s="140" customFormat="1" ht="11.25" x14ac:dyDescent="0.2">
      <c r="B60" s="352"/>
      <c r="C60" s="352"/>
      <c r="D60" s="352"/>
      <c r="E60" s="387"/>
      <c r="F60" s="384">
        <f>SUM(F58:F59)</f>
        <v>16863</v>
      </c>
      <c r="G60" s="388"/>
      <c r="H60" s="388"/>
      <c r="I60" s="387"/>
      <c r="J60" s="384">
        <f>SUM(J58:J59)</f>
        <v>12512</v>
      </c>
      <c r="K60" s="388"/>
      <c r="M60" s="68"/>
      <c r="N60" s="68"/>
      <c r="P60" s="68"/>
      <c r="Q60" s="68"/>
    </row>
    <row r="61" spans="1:17" s="359" customFormat="1" ht="14.1" hidden="1" customHeight="1" x14ac:dyDescent="0.2">
      <c r="A61" s="359" t="s">
        <v>63</v>
      </c>
      <c r="B61" s="360"/>
      <c r="C61" s="360"/>
      <c r="D61" s="360"/>
      <c r="E61" s="389"/>
      <c r="F61" s="389"/>
      <c r="G61" s="390"/>
      <c r="H61" s="390"/>
      <c r="I61" s="389"/>
      <c r="J61" s="389"/>
      <c r="K61" s="390"/>
      <c r="M61" s="423"/>
      <c r="N61" s="423"/>
      <c r="P61" s="423"/>
      <c r="Q61" s="423"/>
    </row>
    <row r="62" spans="1:17" s="359" customFormat="1" ht="14.1" hidden="1" customHeight="1" x14ac:dyDescent="0.2">
      <c r="A62" s="359" t="s">
        <v>25</v>
      </c>
      <c r="B62" s="360"/>
      <c r="C62" s="360"/>
      <c r="D62" s="360"/>
      <c r="E62" s="389"/>
      <c r="F62" s="389"/>
      <c r="G62" s="390"/>
      <c r="H62" s="390"/>
      <c r="I62" s="389"/>
      <c r="J62" s="389"/>
      <c r="K62" s="390"/>
      <c r="M62" s="423"/>
      <c r="N62" s="423"/>
      <c r="P62" s="423"/>
      <c r="Q62" s="423"/>
    </row>
    <row r="63" spans="1:17" s="359" customFormat="1" ht="14.1" hidden="1" customHeight="1" x14ac:dyDescent="0.2">
      <c r="A63" s="359" t="s">
        <v>24</v>
      </c>
      <c r="B63" s="360"/>
      <c r="C63" s="360"/>
      <c r="D63" s="360"/>
      <c r="E63" s="389"/>
      <c r="F63" s="389"/>
      <c r="G63" s="390"/>
      <c r="H63" s="390"/>
      <c r="I63" s="389"/>
      <c r="J63" s="389"/>
      <c r="K63" s="390"/>
      <c r="M63" s="423"/>
      <c r="N63" s="423"/>
      <c r="P63" s="423"/>
      <c r="Q63" s="423"/>
    </row>
    <row r="64" spans="1:17" s="140" customFormat="1" ht="11.25" x14ac:dyDescent="0.2">
      <c r="A64" s="361" t="s">
        <v>26</v>
      </c>
      <c r="B64" s="352"/>
      <c r="C64" s="352"/>
      <c r="D64" s="352"/>
      <c r="E64" s="387"/>
      <c r="F64" s="387"/>
      <c r="G64" s="388"/>
      <c r="H64" s="388"/>
      <c r="I64" s="387"/>
      <c r="J64" s="387"/>
      <c r="K64" s="388"/>
      <c r="M64" s="68"/>
      <c r="N64" s="68"/>
      <c r="P64" s="68"/>
      <c r="Q64" s="68"/>
    </row>
    <row r="65" spans="1:17" s="140" customFormat="1" ht="11.25" x14ac:dyDescent="0.2">
      <c r="A65" s="362" t="s">
        <v>25</v>
      </c>
      <c r="B65" s="352"/>
      <c r="C65" s="352"/>
      <c r="D65" s="352"/>
      <c r="E65" s="387"/>
      <c r="F65" s="377">
        <f>IS!E68</f>
        <v>7374.0450000000001</v>
      </c>
      <c r="G65" s="388"/>
      <c r="H65" s="388"/>
      <c r="I65" s="387"/>
      <c r="J65" s="377">
        <v>0</v>
      </c>
      <c r="K65" s="388"/>
      <c r="M65" s="68"/>
      <c r="N65" s="68"/>
      <c r="P65" s="68"/>
      <c r="Q65" s="68"/>
    </row>
    <row r="66" spans="1:17" s="140" customFormat="1" ht="11.25" x14ac:dyDescent="0.2">
      <c r="A66" s="362" t="s">
        <v>24</v>
      </c>
      <c r="B66" s="352"/>
      <c r="C66" s="352"/>
      <c r="D66" s="352"/>
      <c r="E66" s="387"/>
      <c r="F66" s="379">
        <f>IS!E69</f>
        <v>482159.95500000002</v>
      </c>
      <c r="G66" s="388"/>
      <c r="H66" s="388"/>
      <c r="I66" s="387"/>
      <c r="J66" s="379">
        <v>118028.111</v>
      </c>
      <c r="K66" s="388"/>
      <c r="M66" s="68"/>
      <c r="N66" s="68"/>
      <c r="P66" s="68"/>
      <c r="Q66" s="68"/>
    </row>
    <row r="67" spans="1:17" s="140" customFormat="1" ht="11.25" x14ac:dyDescent="0.2">
      <c r="A67" s="353"/>
      <c r="B67" s="352"/>
      <c r="C67" s="352"/>
      <c r="D67" s="352"/>
      <c r="E67" s="387"/>
      <c r="F67" s="385">
        <f>SUM(F65:F66)</f>
        <v>489534</v>
      </c>
      <c r="G67" s="388"/>
      <c r="H67" s="388"/>
      <c r="I67" s="387"/>
      <c r="J67" s="385">
        <f>J66+J65</f>
        <v>118028.111</v>
      </c>
      <c r="K67" s="388"/>
      <c r="M67" s="68"/>
      <c r="N67" s="68"/>
      <c r="P67" s="68"/>
      <c r="Q67" s="68"/>
    </row>
    <row r="68" spans="1:17" s="549" customFormat="1" ht="11.25" x14ac:dyDescent="0.2">
      <c r="A68" s="356"/>
      <c r="B68" s="551"/>
      <c r="C68" s="551"/>
      <c r="D68" s="551"/>
      <c r="E68" s="387"/>
      <c r="F68" s="546"/>
      <c r="G68" s="388"/>
      <c r="H68" s="388"/>
      <c r="I68" s="387"/>
      <c r="J68" s="546"/>
      <c r="K68" s="388"/>
      <c r="M68" s="68"/>
      <c r="N68" s="68"/>
      <c r="P68" s="68"/>
      <c r="Q68" s="68"/>
    </row>
    <row r="69" spans="1:17" s="549" customFormat="1" ht="9.9499999999999993" customHeight="1" x14ac:dyDescent="0.2">
      <c r="A69" s="549" t="s">
        <v>482</v>
      </c>
      <c r="B69" s="551"/>
      <c r="C69" s="551"/>
      <c r="D69" s="551"/>
      <c r="E69" s="387"/>
      <c r="F69" s="546">
        <f>F51</f>
        <v>-489482.69467000011</v>
      </c>
      <c r="G69" s="388"/>
      <c r="H69" s="388"/>
      <c r="I69" s="387"/>
      <c r="J69" s="546">
        <v>-109984.44017</v>
      </c>
      <c r="K69" s="388"/>
      <c r="M69" s="68"/>
      <c r="N69" s="68"/>
      <c r="P69" s="68"/>
      <c r="Q69" s="68"/>
    </row>
    <row r="70" spans="1:17" s="549" customFormat="1" ht="9.9499999999999993" customHeight="1" x14ac:dyDescent="0.2">
      <c r="B70" s="551"/>
      <c r="C70" s="551"/>
      <c r="D70" s="551"/>
      <c r="E70" s="387"/>
      <c r="F70" s="546"/>
      <c r="G70" s="388"/>
      <c r="H70" s="388"/>
      <c r="I70" s="387"/>
      <c r="J70" s="546"/>
      <c r="K70" s="388"/>
      <c r="M70" s="68"/>
      <c r="N70" s="68"/>
      <c r="P70" s="68"/>
      <c r="Q70" s="68"/>
    </row>
    <row r="71" spans="1:17" s="140" customFormat="1" thickBot="1" x14ac:dyDescent="0.25">
      <c r="A71" s="350" t="s">
        <v>62</v>
      </c>
      <c r="B71" s="352"/>
      <c r="C71" s="352"/>
      <c r="D71" s="352"/>
      <c r="E71" s="387"/>
      <c r="F71" s="381">
        <f>F60+F67+F69</f>
        <v>16914.305329999886</v>
      </c>
      <c r="G71" s="388"/>
      <c r="H71" s="388"/>
      <c r="I71" s="387"/>
      <c r="J71" s="381">
        <f>J60+J67+J69</f>
        <v>20555.670830000003</v>
      </c>
      <c r="K71" s="388"/>
      <c r="L71" s="548"/>
      <c r="M71" s="68"/>
      <c r="N71" s="68"/>
      <c r="P71" s="68"/>
      <c r="Q71" s="68"/>
    </row>
    <row r="72" spans="1:17" s="140" customFormat="1" thickTop="1" x14ac:dyDescent="0.2">
      <c r="A72" s="356"/>
      <c r="B72" s="352"/>
      <c r="C72" s="352"/>
      <c r="D72" s="352"/>
      <c r="E72" s="387"/>
      <c r="F72" s="387"/>
      <c r="G72" s="388"/>
      <c r="H72" s="388"/>
      <c r="I72" s="387"/>
      <c r="J72" s="387"/>
      <c r="K72" s="388"/>
      <c r="M72" s="68"/>
      <c r="N72" s="68"/>
      <c r="P72" s="68"/>
      <c r="Q72" s="68"/>
    </row>
    <row r="73" spans="1:17" s="140" customFormat="1" ht="11.25" x14ac:dyDescent="0.2">
      <c r="A73" s="350" t="s">
        <v>388</v>
      </c>
      <c r="B73" s="352"/>
      <c r="C73" s="352"/>
      <c r="D73" s="352"/>
      <c r="E73" s="387"/>
      <c r="F73" s="387"/>
      <c r="G73" s="388"/>
      <c r="H73" s="388"/>
      <c r="I73" s="387"/>
      <c r="J73" s="387"/>
      <c r="K73" s="388"/>
      <c r="M73" s="68"/>
      <c r="N73" s="68"/>
      <c r="P73" s="68"/>
      <c r="Q73" s="68"/>
    </row>
    <row r="74" spans="1:17" s="140" customFormat="1" ht="11.25" x14ac:dyDescent="0.2">
      <c r="A74" s="354" t="s">
        <v>61</v>
      </c>
      <c r="B74" s="352"/>
      <c r="C74" s="352"/>
      <c r="D74" s="352"/>
      <c r="E74" s="387"/>
      <c r="F74" s="382">
        <f>F76-F75</f>
        <v>16914.305329999886</v>
      </c>
      <c r="G74" s="388"/>
      <c r="H74" s="388"/>
      <c r="I74" s="387"/>
      <c r="J74" s="382">
        <v>20555.670830000003</v>
      </c>
      <c r="K74" s="388"/>
      <c r="M74" s="68"/>
      <c r="N74" s="68"/>
      <c r="P74" s="68"/>
      <c r="Q74" s="68"/>
    </row>
    <row r="75" spans="1:17" s="140" customFormat="1" ht="11.25" x14ac:dyDescent="0.2">
      <c r="A75" s="354" t="s">
        <v>60</v>
      </c>
      <c r="B75" s="352"/>
      <c r="C75" s="352"/>
      <c r="D75" s="352"/>
      <c r="E75" s="387"/>
      <c r="F75" s="383">
        <f>IS!E17</f>
        <v>0</v>
      </c>
      <c r="G75" s="388"/>
      <c r="H75" s="388"/>
      <c r="I75" s="387"/>
      <c r="J75" s="383">
        <v>0</v>
      </c>
      <c r="K75" s="388"/>
      <c r="M75" s="68"/>
      <c r="N75" s="68"/>
      <c r="P75" s="68"/>
      <c r="Q75" s="68"/>
    </row>
    <row r="76" spans="1:17" s="140" customFormat="1" thickBot="1" x14ac:dyDescent="0.25">
      <c r="B76" s="352"/>
      <c r="C76" s="352"/>
      <c r="D76" s="352"/>
      <c r="E76" s="387"/>
      <c r="F76" s="386">
        <f>F71</f>
        <v>16914.305329999886</v>
      </c>
      <c r="G76" s="388"/>
      <c r="H76" s="388"/>
      <c r="I76" s="387"/>
      <c r="J76" s="386">
        <f>J74+J75</f>
        <v>20555.670830000003</v>
      </c>
      <c r="K76" s="388"/>
      <c r="L76" s="548">
        <f>+F76-F53</f>
        <v>0</v>
      </c>
      <c r="M76" s="68"/>
      <c r="N76" s="68"/>
      <c r="P76" s="68"/>
      <c r="Q76" s="68"/>
    </row>
    <row r="77" spans="1:17" s="140" customFormat="1" thickTop="1" x14ac:dyDescent="0.2">
      <c r="A77" s="363"/>
      <c r="B77" s="352"/>
      <c r="C77" s="352"/>
      <c r="D77" s="352"/>
      <c r="E77" s="145"/>
      <c r="F77" s="145"/>
      <c r="G77" s="364"/>
      <c r="H77" s="364"/>
      <c r="I77" s="145"/>
      <c r="J77" s="145"/>
      <c r="K77" s="364"/>
      <c r="M77" s="68"/>
      <c r="N77" s="68"/>
      <c r="P77" s="68"/>
      <c r="Q77" s="68"/>
    </row>
    <row r="78" spans="1:17" s="140" customFormat="1" ht="11.25" x14ac:dyDescent="0.2">
      <c r="B78" s="352"/>
      <c r="C78" s="352"/>
      <c r="D78" s="352"/>
      <c r="E78" s="145"/>
      <c r="F78" s="365" t="s">
        <v>59</v>
      </c>
      <c r="H78" s="146"/>
      <c r="I78" s="145"/>
      <c r="J78" s="365" t="s">
        <v>59</v>
      </c>
      <c r="M78" s="68"/>
      <c r="N78" s="68"/>
      <c r="P78" s="68"/>
      <c r="Q78" s="68"/>
    </row>
    <row r="79" spans="1:17" s="140" customFormat="1" thickBot="1" x14ac:dyDescent="0.25">
      <c r="A79" s="350" t="s">
        <v>425</v>
      </c>
      <c r="B79" s="352"/>
      <c r="C79" s="352"/>
      <c r="D79" s="352"/>
      <c r="E79" s="145"/>
      <c r="F79" s="391">
        <f>SAL!$H$34</f>
        <v>50.467799999999997</v>
      </c>
      <c r="H79" s="366"/>
      <c r="I79" s="145"/>
      <c r="J79" s="391">
        <v>50.384300000000003</v>
      </c>
      <c r="M79" s="68"/>
      <c r="N79" s="68"/>
      <c r="P79" s="68"/>
      <c r="Q79" s="68"/>
    </row>
    <row r="80" spans="1:17" s="140" customFormat="1" ht="12.75" thickTop="1" thickBot="1" x14ac:dyDescent="0.25">
      <c r="A80" s="350" t="s">
        <v>426</v>
      </c>
      <c r="B80" s="352"/>
      <c r="C80" s="352"/>
      <c r="D80" s="352"/>
      <c r="E80" s="145"/>
      <c r="F80" s="391">
        <f>SAL!$F$34</f>
        <v>50.467799999999997</v>
      </c>
      <c r="H80" s="366"/>
      <c r="I80" s="145"/>
      <c r="J80" s="391">
        <v>50.544800000000002</v>
      </c>
      <c r="M80" s="68"/>
      <c r="N80" s="68"/>
      <c r="P80" s="68"/>
      <c r="Q80" s="68"/>
    </row>
    <row r="81" spans="1:17" s="139" customFormat="1" ht="12.75" thickTop="1" x14ac:dyDescent="0.2">
      <c r="B81" s="144"/>
      <c r="C81" s="144"/>
      <c r="D81" s="144"/>
      <c r="E81" s="141"/>
      <c r="F81" s="141"/>
      <c r="G81" s="143"/>
      <c r="H81" s="143"/>
      <c r="I81" s="143"/>
      <c r="J81" s="143"/>
      <c r="M81" s="5"/>
      <c r="N81" s="5"/>
      <c r="P81" s="5"/>
      <c r="Q81" s="5"/>
    </row>
    <row r="82" spans="1:17" s="139" customFormat="1" x14ac:dyDescent="0.2">
      <c r="B82" s="144"/>
      <c r="C82" s="144"/>
      <c r="D82" s="144"/>
      <c r="E82" s="141"/>
      <c r="F82" s="141"/>
      <c r="G82" s="143"/>
      <c r="H82" s="143"/>
      <c r="I82" s="143"/>
      <c r="J82" s="143"/>
      <c r="M82" s="5"/>
      <c r="N82" s="5"/>
      <c r="P82" s="5"/>
      <c r="Q82" s="5"/>
    </row>
    <row r="83" spans="1:17" s="1" customFormat="1" x14ac:dyDescent="0.25">
      <c r="A83" s="1" t="str">
        <f>SAL!$A$37</f>
        <v>The annexed notes from 1 to 16 form an integral part of these condensed interim financial statements.</v>
      </c>
      <c r="D83" s="3"/>
      <c r="E83" s="4"/>
      <c r="M83" s="5"/>
      <c r="N83" s="5"/>
      <c r="P83" s="5"/>
      <c r="Q83" s="5"/>
    </row>
    <row r="84" spans="1:17" s="1" customFormat="1" x14ac:dyDescent="0.25">
      <c r="D84" s="3"/>
      <c r="M84" s="5"/>
      <c r="N84" s="5"/>
      <c r="P84" s="5"/>
      <c r="Q84" s="5"/>
    </row>
    <row r="85" spans="1:17" s="1" customFormat="1" x14ac:dyDescent="0.25">
      <c r="D85" s="3"/>
      <c r="M85" s="5"/>
      <c r="N85" s="5"/>
      <c r="P85" s="5"/>
      <c r="Q85" s="5"/>
    </row>
    <row r="86" spans="1:17" s="1" customFormat="1" x14ac:dyDescent="0.2">
      <c r="A86" s="50" t="str">
        <f>SAL!$A$40</f>
        <v xml:space="preserve">                                                       For MCB-Arif Habib Savings and Investments Limited</v>
      </c>
      <c r="B86" s="17"/>
      <c r="C86" s="17"/>
      <c r="D86" s="17"/>
      <c r="M86" s="5"/>
      <c r="N86" s="5"/>
      <c r="P86" s="5"/>
      <c r="Q86" s="5"/>
    </row>
    <row r="87" spans="1:17" s="1" customFormat="1" x14ac:dyDescent="0.2">
      <c r="A87" s="49" t="str">
        <f>SAL!$A$41</f>
        <v xml:space="preserve">                                                                               (Management Company)</v>
      </c>
      <c r="B87" s="17"/>
      <c r="C87" s="17"/>
      <c r="D87" s="17"/>
      <c r="M87" s="5"/>
      <c r="N87" s="5"/>
      <c r="P87" s="5"/>
      <c r="Q87" s="5"/>
    </row>
    <row r="88" spans="1:17" s="1" customFormat="1" x14ac:dyDescent="0.2">
      <c r="A88" s="15"/>
      <c r="B88" s="15"/>
      <c r="C88" s="9"/>
      <c r="D88" s="13"/>
      <c r="M88" s="5"/>
      <c r="N88" s="5"/>
      <c r="P88" s="5"/>
      <c r="Q88" s="5"/>
    </row>
    <row r="89" spans="1:17" s="1" customFormat="1" x14ac:dyDescent="0.2">
      <c r="A89" s="15"/>
      <c r="B89" s="15"/>
      <c r="C89" s="9"/>
      <c r="D89" s="13"/>
      <c r="M89" s="5"/>
      <c r="N89" s="5"/>
      <c r="P89" s="5"/>
      <c r="Q89" s="5"/>
    </row>
    <row r="90" spans="1:17" s="1" customFormat="1" x14ac:dyDescent="0.2">
      <c r="A90" s="15"/>
      <c r="B90" s="15"/>
      <c r="C90" s="9"/>
      <c r="D90" s="13"/>
      <c r="M90" s="5"/>
      <c r="N90" s="5"/>
      <c r="P90" s="5"/>
      <c r="Q90" s="5"/>
    </row>
    <row r="91" spans="1:17" s="1" customFormat="1" x14ac:dyDescent="0.2">
      <c r="A91" s="15"/>
      <c r="B91" s="15"/>
      <c r="C91" s="9"/>
      <c r="D91" s="13"/>
      <c r="M91" s="5"/>
      <c r="N91" s="5"/>
      <c r="P91" s="5"/>
      <c r="Q91" s="5"/>
    </row>
    <row r="92" spans="1:17" s="1" customFormat="1" x14ac:dyDescent="0.25">
      <c r="A92" s="50" t="str">
        <f>SAL!$A$46</f>
        <v xml:space="preserve">           _____________________                          _____________________                          _____________________</v>
      </c>
      <c r="M92" s="5"/>
      <c r="N92" s="5"/>
      <c r="P92" s="5"/>
      <c r="Q92" s="5"/>
    </row>
    <row r="93" spans="1:17" s="1" customFormat="1" x14ac:dyDescent="0.2">
      <c r="A93" s="49" t="str">
        <f>SAL!$A$47</f>
        <v xml:space="preserve">            Chief Executive Officer                              Chief Financial Officer                                          Director</v>
      </c>
      <c r="M93" s="5"/>
      <c r="N93" s="5"/>
      <c r="P93" s="5"/>
      <c r="Q93" s="5"/>
    </row>
  </sheetData>
  <mergeCells count="9">
    <mergeCell ref="F7:F9"/>
    <mergeCell ref="I5:K6"/>
    <mergeCell ref="E10:K10"/>
    <mergeCell ref="E5:G6"/>
    <mergeCell ref="G7:G9"/>
    <mergeCell ref="E7:E9"/>
    <mergeCell ref="I7:I9"/>
    <mergeCell ref="J7:J9"/>
    <mergeCell ref="K7:K9"/>
  </mergeCells>
  <printOptions horizontalCentered="1"/>
  <pageMargins left="0.6" right="0.35" top="0.5" bottom="0.4" header="0.3" footer="0.3"/>
  <pageSetup paperSize="9" scale="97" orientation="portrait" r:id="rId1"/>
  <cellWatches>
    <cellWatch r="L53"/>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56"/>
  <sheetViews>
    <sheetView view="pageBreakPreview" topLeftCell="A32" zoomScaleNormal="100" zoomScaleSheetLayoutView="100" workbookViewId="0">
      <selection activeCell="F35" sqref="F35"/>
    </sheetView>
  </sheetViews>
  <sheetFormatPr defaultColWidth="9" defaultRowHeight="12" x14ac:dyDescent="0.2"/>
  <cols>
    <col min="1" max="1" width="5.125" style="48" customWidth="1"/>
    <col min="2" max="2" width="3.625" style="48" customWidth="1"/>
    <col min="3" max="3" width="41.625" style="48" customWidth="1"/>
    <col min="4" max="5" width="5.625" style="48" customWidth="1"/>
    <col min="6" max="6" width="10.375" style="48" customWidth="1"/>
    <col min="7" max="7" width="1.625" style="48" customWidth="1"/>
    <col min="8" max="8" width="10.375" style="48" customWidth="1"/>
    <col min="9" max="9" width="9" style="48"/>
    <col min="10" max="10" width="10.5" style="94" bestFit="1" customWidth="1"/>
    <col min="11" max="11" width="9" style="450"/>
    <col min="12" max="16384" width="9" style="48"/>
  </cols>
  <sheetData>
    <row r="1" spans="1:11" s="1" customFormat="1" x14ac:dyDescent="0.25">
      <c r="A1" s="184" t="s">
        <v>23</v>
      </c>
      <c r="B1" s="184"/>
      <c r="C1" s="184"/>
      <c r="D1" s="184"/>
      <c r="E1" s="183"/>
      <c r="F1" s="183"/>
      <c r="G1" s="183"/>
      <c r="H1" s="183"/>
      <c r="J1" s="5"/>
      <c r="K1" s="446"/>
    </row>
    <row r="2" spans="1:11" s="1" customFormat="1" x14ac:dyDescent="0.25">
      <c r="A2" s="232" t="s">
        <v>329</v>
      </c>
      <c r="B2" s="44"/>
      <c r="C2" s="44"/>
      <c r="D2" s="44"/>
      <c r="E2" s="180"/>
      <c r="F2" s="180"/>
      <c r="G2" s="180"/>
      <c r="H2" s="180"/>
      <c r="J2" s="5"/>
      <c r="K2" s="446"/>
    </row>
    <row r="3" spans="1:11" s="1" customFormat="1" x14ac:dyDescent="0.25">
      <c r="A3" s="181" t="str">
        <f>+UHF!A3</f>
        <v>FOR THE NINE MONTHS ENDED MARCH 31, 2022</v>
      </c>
      <c r="B3" s="44"/>
      <c r="C3" s="44"/>
      <c r="D3" s="44"/>
      <c r="E3" s="180"/>
      <c r="F3" s="180"/>
      <c r="G3" s="180"/>
      <c r="H3" s="180"/>
      <c r="J3" s="5"/>
      <c r="K3" s="446"/>
    </row>
    <row r="4" spans="1:11" s="1" customFormat="1" x14ac:dyDescent="0.25">
      <c r="A4" s="157"/>
      <c r="B4" s="156"/>
      <c r="C4" s="156"/>
      <c r="D4" s="156"/>
      <c r="E4" s="160"/>
      <c r="F4" s="178"/>
      <c r="G4" s="179"/>
      <c r="H4" s="177"/>
      <c r="J4" s="5"/>
      <c r="K4" s="446"/>
    </row>
    <row r="5" spans="1:11" s="1" customFormat="1" x14ac:dyDescent="0.25">
      <c r="A5" s="157"/>
      <c r="B5" s="156"/>
      <c r="C5" s="156"/>
      <c r="D5" s="156"/>
      <c r="E5" s="160"/>
      <c r="F5" s="743" t="s">
        <v>507</v>
      </c>
      <c r="G5" s="743"/>
      <c r="H5" s="743"/>
      <c r="J5" s="5"/>
      <c r="K5" s="446"/>
    </row>
    <row r="6" spans="1:11" s="1" customFormat="1" x14ac:dyDescent="0.25">
      <c r="A6" s="157"/>
      <c r="B6" s="156"/>
      <c r="C6" s="156"/>
      <c r="D6" s="156"/>
      <c r="E6" s="160"/>
      <c r="F6" s="178" t="str">
        <f>+SOCI!E6</f>
        <v>March 31,</v>
      </c>
      <c r="G6" s="179"/>
      <c r="H6" s="178" t="str">
        <f>+F6</f>
        <v>March 31,</v>
      </c>
      <c r="J6" s="5"/>
      <c r="K6" s="446"/>
    </row>
    <row r="7" spans="1:11" s="1" customFormat="1" x14ac:dyDescent="0.25">
      <c r="A7" s="157"/>
      <c r="B7" s="156"/>
      <c r="C7" s="156"/>
      <c r="D7" s="156"/>
      <c r="E7" s="160"/>
      <c r="F7" s="175">
        <v>2022</v>
      </c>
      <c r="G7" s="176"/>
      <c r="H7" s="175">
        <v>2021</v>
      </c>
      <c r="J7" s="5"/>
      <c r="K7" s="446"/>
    </row>
    <row r="8" spans="1:11" s="1" customFormat="1" x14ac:dyDescent="0.2">
      <c r="A8" s="157"/>
      <c r="B8" s="156"/>
      <c r="C8" s="156"/>
      <c r="D8" s="156"/>
      <c r="E8" s="8" t="s">
        <v>18</v>
      </c>
      <c r="F8" s="722" t="s">
        <v>17</v>
      </c>
      <c r="G8" s="722"/>
      <c r="H8" s="722"/>
      <c r="J8" s="5"/>
      <c r="K8" s="446"/>
    </row>
    <row r="9" spans="1:11" s="1" customFormat="1" x14ac:dyDescent="0.25">
      <c r="A9" s="158" t="s">
        <v>76</v>
      </c>
      <c r="B9" s="155"/>
      <c r="C9" s="155"/>
      <c r="D9" s="155"/>
      <c r="E9" s="160"/>
      <c r="F9" s="155"/>
      <c r="G9" s="155"/>
      <c r="H9" s="155"/>
      <c r="J9" s="5"/>
      <c r="K9" s="446"/>
    </row>
    <row r="10" spans="1:11" s="1" customFormat="1" x14ac:dyDescent="0.25">
      <c r="A10" s="158"/>
      <c r="B10" s="155"/>
      <c r="C10" s="155"/>
      <c r="D10" s="155"/>
      <c r="E10" s="160"/>
      <c r="F10" s="155"/>
      <c r="G10" s="155"/>
      <c r="H10" s="155"/>
      <c r="J10" s="5"/>
      <c r="K10" s="446"/>
    </row>
    <row r="11" spans="1:11" s="1" customFormat="1" x14ac:dyDescent="0.25">
      <c r="A11" s="153" t="s">
        <v>33</v>
      </c>
      <c r="B11" s="155"/>
      <c r="C11" s="155"/>
      <c r="D11" s="155"/>
      <c r="E11" s="160"/>
      <c r="F11" s="154">
        <f>IS!E51</f>
        <v>504333</v>
      </c>
      <c r="G11" s="154"/>
      <c r="H11" s="154">
        <v>122101</v>
      </c>
      <c r="J11" s="5"/>
      <c r="K11" s="446"/>
    </row>
    <row r="12" spans="1:11" s="1" customFormat="1" x14ac:dyDescent="0.25">
      <c r="A12" s="157"/>
      <c r="B12" s="155"/>
      <c r="C12" s="155"/>
      <c r="D12" s="155"/>
      <c r="E12" s="160"/>
      <c r="F12" s="154"/>
      <c r="G12" s="154"/>
      <c r="H12" s="154"/>
      <c r="J12" s="5"/>
      <c r="K12" s="446"/>
    </row>
    <row r="13" spans="1:11" s="289" customFormat="1" x14ac:dyDescent="0.2">
      <c r="A13" s="212" t="s">
        <v>75</v>
      </c>
      <c r="E13" s="160"/>
      <c r="F13" s="154"/>
      <c r="G13" s="154"/>
      <c r="H13" s="154"/>
      <c r="J13" s="5"/>
      <c r="K13" s="446"/>
    </row>
    <row r="14" spans="1:11" s="289" customFormat="1" x14ac:dyDescent="0.2">
      <c r="A14" s="558" t="s">
        <v>483</v>
      </c>
      <c r="E14" s="160"/>
      <c r="F14" s="154"/>
      <c r="G14" s="154"/>
      <c r="H14" s="154"/>
      <c r="J14" s="5"/>
      <c r="K14" s="446"/>
    </row>
    <row r="15" spans="1:11" s="289" customFormat="1" x14ac:dyDescent="0.2">
      <c r="A15" s="559" t="s">
        <v>478</v>
      </c>
      <c r="E15" s="160"/>
      <c r="F15" s="154">
        <f>-IS!$E$17</f>
        <v>0</v>
      </c>
      <c r="G15" s="154"/>
      <c r="H15" s="154">
        <v>0</v>
      </c>
      <c r="J15" s="5"/>
      <c r="K15" s="446"/>
    </row>
    <row r="16" spans="1:11" s="289" customFormat="1" x14ac:dyDescent="0.25">
      <c r="A16" s="482" t="s">
        <v>34</v>
      </c>
      <c r="E16" s="160"/>
      <c r="F16" s="154">
        <f>-IS!$E$49</f>
        <v>-12614</v>
      </c>
      <c r="G16" s="154"/>
      <c r="H16" s="154">
        <v>2492</v>
      </c>
      <c r="J16" s="5"/>
      <c r="K16" s="446"/>
    </row>
    <row r="17" spans="1:11" s="289" customFormat="1" x14ac:dyDescent="0.25">
      <c r="A17" s="171"/>
      <c r="E17" s="160"/>
      <c r="F17" s="159">
        <f>SUM(F11:F16)</f>
        <v>491719</v>
      </c>
      <c r="G17" s="154"/>
      <c r="H17" s="159">
        <f>SUM(H11:H16)</f>
        <v>124593</v>
      </c>
      <c r="J17" s="5"/>
      <c r="K17" s="446"/>
    </row>
    <row r="18" spans="1:11" s="1" customFormat="1" x14ac:dyDescent="0.25">
      <c r="A18" s="171"/>
      <c r="E18" s="160"/>
      <c r="F18" s="154"/>
      <c r="G18" s="154"/>
      <c r="H18" s="154"/>
      <c r="J18" s="5"/>
      <c r="K18" s="446"/>
    </row>
    <row r="19" spans="1:11" s="1" customFormat="1" x14ac:dyDescent="0.2">
      <c r="A19" s="170" t="s">
        <v>390</v>
      </c>
      <c r="B19" s="155"/>
      <c r="C19" s="155"/>
      <c r="D19" s="155"/>
      <c r="E19" s="160"/>
      <c r="F19" s="154"/>
      <c r="G19" s="154"/>
      <c r="H19" s="154"/>
      <c r="J19" s="5"/>
      <c r="K19" s="446"/>
    </row>
    <row r="20" spans="1:11" s="1" customFormat="1" x14ac:dyDescent="0.25">
      <c r="A20" s="153" t="s">
        <v>330</v>
      </c>
      <c r="B20" s="155"/>
      <c r="C20" s="155"/>
      <c r="D20" s="155"/>
      <c r="E20" s="160"/>
      <c r="F20" s="166">
        <f>-F15</f>
        <v>0</v>
      </c>
      <c r="G20" s="154"/>
      <c r="H20" s="166"/>
      <c r="J20" s="5"/>
      <c r="K20" s="446"/>
    </row>
    <row r="21" spans="1:11" s="1" customFormat="1" x14ac:dyDescent="0.25">
      <c r="A21" s="153" t="s">
        <v>403</v>
      </c>
      <c r="B21" s="155"/>
      <c r="C21" s="155"/>
      <c r="D21" s="155"/>
      <c r="E21" s="160"/>
      <c r="F21" s="168">
        <f>SAL!$I$12</f>
        <v>-101263.3</v>
      </c>
      <c r="G21" s="154"/>
      <c r="H21" s="168">
        <v>1916</v>
      </c>
      <c r="J21" s="5"/>
      <c r="K21" s="446"/>
    </row>
    <row r="22" spans="1:11" s="1" customFormat="1" x14ac:dyDescent="0.25">
      <c r="A22" s="157"/>
      <c r="B22" s="155"/>
      <c r="C22" s="155"/>
      <c r="D22" s="155"/>
      <c r="E22" s="160"/>
      <c r="F22" s="154">
        <f>SUM(F20:F21)</f>
        <v>-101263.3</v>
      </c>
      <c r="G22" s="154"/>
      <c r="H22" s="154">
        <f>SUM(H20:H21)</f>
        <v>1916</v>
      </c>
      <c r="J22" s="5"/>
      <c r="K22" s="446"/>
    </row>
    <row r="23" spans="1:11" s="1" customFormat="1" x14ac:dyDescent="0.25">
      <c r="A23" s="158" t="s">
        <v>475</v>
      </c>
      <c r="B23" s="155"/>
      <c r="C23" s="155"/>
      <c r="D23" s="155"/>
      <c r="E23" s="160"/>
      <c r="F23" s="154"/>
      <c r="G23" s="154"/>
      <c r="H23" s="154"/>
      <c r="J23" s="5"/>
      <c r="K23" s="446"/>
    </row>
    <row r="24" spans="1:11" s="1" customFormat="1" x14ac:dyDescent="0.25">
      <c r="A24" s="153" t="s">
        <v>404</v>
      </c>
      <c r="B24" s="155"/>
      <c r="C24" s="155"/>
      <c r="D24" s="155"/>
      <c r="E24" s="160"/>
      <c r="F24" s="166">
        <f>+SAL!I16</f>
        <v>256</v>
      </c>
      <c r="G24" s="154"/>
      <c r="H24" s="166">
        <v>-123</v>
      </c>
      <c r="J24" s="5"/>
      <c r="K24" s="446"/>
    </row>
    <row r="25" spans="1:11" s="1" customFormat="1" x14ac:dyDescent="0.25">
      <c r="A25" s="153" t="str">
        <f>+SAL!A17</f>
        <v>Payable to Digital Custodian Company Limited - Trustee</v>
      </c>
      <c r="B25" s="155"/>
      <c r="C25" s="155"/>
      <c r="D25" s="155"/>
      <c r="E25" s="160"/>
      <c r="F25" s="165">
        <f>SAL!$I$17</f>
        <v>272</v>
      </c>
      <c r="G25" s="154"/>
      <c r="H25" s="165">
        <v>-73</v>
      </c>
      <c r="J25" s="5"/>
      <c r="K25" s="446"/>
    </row>
    <row r="26" spans="1:11" s="1" customFormat="1" x14ac:dyDescent="0.2">
      <c r="A26" s="169" t="s">
        <v>389</v>
      </c>
      <c r="B26" s="155"/>
      <c r="C26" s="155"/>
      <c r="D26" s="155"/>
      <c r="E26" s="160"/>
      <c r="F26" s="165">
        <f>SAL!$I$18</f>
        <v>566</v>
      </c>
      <c r="G26" s="154"/>
      <c r="H26" s="165">
        <v>-233</v>
      </c>
      <c r="J26" s="5"/>
      <c r="K26" s="446"/>
    </row>
    <row r="27" spans="1:11" s="1" customFormat="1" x14ac:dyDescent="0.25">
      <c r="A27" s="153" t="s">
        <v>382</v>
      </c>
      <c r="B27" s="155"/>
      <c r="C27" s="155"/>
      <c r="D27" s="155"/>
      <c r="E27" s="160"/>
      <c r="F27" s="168">
        <f>SAL!I19-F16-3</f>
        <v>3634.7799999999988</v>
      </c>
      <c r="G27" s="154"/>
      <c r="H27" s="168">
        <v>26507</v>
      </c>
      <c r="J27" s="5"/>
      <c r="K27" s="446"/>
    </row>
    <row r="28" spans="1:11" s="1" customFormat="1" x14ac:dyDescent="0.25">
      <c r="A28" s="157"/>
      <c r="B28" s="155"/>
      <c r="C28" s="155"/>
      <c r="D28" s="155"/>
      <c r="E28" s="160"/>
      <c r="F28" s="154">
        <f>SUM(F24:F27)</f>
        <v>4728.7799999999988</v>
      </c>
      <c r="G28" s="154"/>
      <c r="H28" s="154">
        <f>SUM(H24:H27)</f>
        <v>26078</v>
      </c>
      <c r="J28" s="5"/>
      <c r="K28" s="446"/>
    </row>
    <row r="29" spans="1:11" s="1" customFormat="1" x14ac:dyDescent="0.25">
      <c r="A29" s="157"/>
      <c r="B29" s="155"/>
      <c r="C29" s="155"/>
      <c r="D29" s="155"/>
      <c r="E29" s="160"/>
      <c r="F29" s="154"/>
      <c r="G29" s="154"/>
      <c r="H29" s="154"/>
      <c r="J29" s="5"/>
      <c r="K29" s="446"/>
    </row>
    <row r="30" spans="1:11" s="1" customFormat="1" x14ac:dyDescent="0.2">
      <c r="A30" s="167" t="s">
        <v>74</v>
      </c>
      <c r="B30" s="155"/>
      <c r="C30" s="155"/>
      <c r="D30" s="155"/>
      <c r="E30" s="160"/>
      <c r="F30" s="159">
        <f>F17+F22+F28</f>
        <v>395184.48</v>
      </c>
      <c r="G30" s="154"/>
      <c r="H30" s="159">
        <f>H17+H22+H28</f>
        <v>152587</v>
      </c>
      <c r="J30" s="5"/>
      <c r="K30" s="446"/>
    </row>
    <row r="31" spans="1:11" s="1" customFormat="1" x14ac:dyDescent="0.25">
      <c r="A31" s="158"/>
      <c r="B31" s="155"/>
      <c r="C31" s="155"/>
      <c r="D31" s="155"/>
      <c r="E31" s="160"/>
      <c r="F31" s="154"/>
      <c r="G31" s="154"/>
      <c r="H31" s="154"/>
      <c r="J31" s="5"/>
      <c r="K31" s="446"/>
    </row>
    <row r="32" spans="1:11" s="1" customFormat="1" x14ac:dyDescent="0.25">
      <c r="A32" s="158"/>
      <c r="B32" s="155"/>
      <c r="C32" s="155"/>
      <c r="D32" s="155"/>
      <c r="E32" s="160"/>
      <c r="F32" s="154"/>
      <c r="G32" s="154"/>
      <c r="H32" s="154"/>
      <c r="J32" s="5"/>
      <c r="K32" s="446"/>
    </row>
    <row r="33" spans="1:11" s="1" customFormat="1" x14ac:dyDescent="0.25">
      <c r="A33" s="158" t="s">
        <v>73</v>
      </c>
      <c r="B33" s="155"/>
      <c r="C33" s="155"/>
      <c r="D33" s="155"/>
      <c r="E33" s="160"/>
      <c r="F33" s="154"/>
      <c r="G33" s="154"/>
      <c r="H33" s="154"/>
      <c r="J33" s="5"/>
      <c r="K33" s="446"/>
    </row>
    <row r="34" spans="1:11" s="1" customFormat="1" x14ac:dyDescent="0.25">
      <c r="A34" s="158"/>
      <c r="B34" s="155"/>
      <c r="C34" s="155"/>
      <c r="D34" s="155"/>
      <c r="E34" s="160"/>
      <c r="F34" s="154"/>
      <c r="G34" s="154"/>
      <c r="H34" s="154"/>
      <c r="J34" s="5"/>
      <c r="K34" s="446"/>
    </row>
    <row r="35" spans="1:11" s="1" customFormat="1" x14ac:dyDescent="0.2">
      <c r="A35" s="164" t="s">
        <v>405</v>
      </c>
      <c r="B35" s="155"/>
      <c r="C35" s="155"/>
      <c r="D35" s="155"/>
      <c r="E35" s="11"/>
      <c r="F35" s="166">
        <f>UHF!$G$25+UHF!E51</f>
        <v>38880294</v>
      </c>
      <c r="G35" s="154"/>
      <c r="H35" s="166">
        <v>5732718.0911699999</v>
      </c>
      <c r="J35" s="5"/>
      <c r="K35" s="446"/>
    </row>
    <row r="36" spans="1:11" s="1" customFormat="1" x14ac:dyDescent="0.2">
      <c r="A36" s="164" t="s">
        <v>406</v>
      </c>
      <c r="B36" s="155"/>
      <c r="C36" s="155"/>
      <c r="D36" s="155"/>
      <c r="E36" s="160"/>
      <c r="F36" s="165">
        <f>UHF!$G$31</f>
        <v>-26685154</v>
      </c>
      <c r="G36" s="154"/>
      <c r="H36" s="165">
        <v>-6750848</v>
      </c>
      <c r="J36" s="5"/>
      <c r="K36" s="446"/>
    </row>
    <row r="37" spans="1:11" s="1" customFormat="1" x14ac:dyDescent="0.2">
      <c r="A37" s="164" t="s">
        <v>72</v>
      </c>
      <c r="B37" s="155"/>
      <c r="C37" s="155"/>
      <c r="D37" s="155"/>
      <c r="E37" s="160"/>
      <c r="F37" s="163">
        <f>+UHF!F51</f>
        <v>-489482.69467000011</v>
      </c>
      <c r="G37" s="154"/>
      <c r="H37" s="163">
        <v>-109984.44017</v>
      </c>
      <c r="J37" s="5"/>
      <c r="K37" s="446"/>
    </row>
    <row r="38" spans="1:11" s="1" customFormat="1" x14ac:dyDescent="0.2">
      <c r="A38" s="162" t="s">
        <v>476</v>
      </c>
      <c r="B38" s="155"/>
      <c r="C38" s="155"/>
      <c r="D38" s="155"/>
      <c r="E38" s="160"/>
      <c r="F38" s="159">
        <f>SUM(F35:F37)</f>
        <v>11705657.305330001</v>
      </c>
      <c r="G38" s="154"/>
      <c r="H38" s="159">
        <f>SUM(H35:H37)</f>
        <v>-1128114.3490000002</v>
      </c>
      <c r="J38" s="5"/>
      <c r="K38" s="446"/>
    </row>
    <row r="39" spans="1:11" s="1" customFormat="1" x14ac:dyDescent="0.25">
      <c r="A39" s="158"/>
      <c r="B39" s="155"/>
      <c r="C39" s="155"/>
      <c r="D39" s="155"/>
      <c r="E39" s="160"/>
      <c r="F39" s="154"/>
      <c r="G39" s="154"/>
      <c r="H39" s="154"/>
      <c r="J39" s="5"/>
      <c r="K39" s="446"/>
    </row>
    <row r="40" spans="1:11" s="1" customFormat="1" x14ac:dyDescent="0.2">
      <c r="A40" s="161" t="s">
        <v>477</v>
      </c>
      <c r="B40" s="155"/>
      <c r="C40" s="155"/>
      <c r="D40" s="155"/>
      <c r="E40" s="160"/>
      <c r="F40" s="159">
        <f>F30+F38</f>
        <v>12100841.785330001</v>
      </c>
      <c r="G40" s="154"/>
      <c r="H40" s="159">
        <f>H30+H38-1</f>
        <v>-975528.34900000016</v>
      </c>
      <c r="J40" s="5"/>
      <c r="K40" s="446"/>
    </row>
    <row r="41" spans="1:11" s="1" customFormat="1" x14ac:dyDescent="0.25">
      <c r="A41" s="153" t="s">
        <v>429</v>
      </c>
      <c r="B41" s="155"/>
      <c r="C41" s="155"/>
      <c r="D41" s="155"/>
      <c r="E41" s="155"/>
      <c r="F41" s="154">
        <f>+SAL!H10</f>
        <v>3141821</v>
      </c>
      <c r="G41" s="154"/>
      <c r="H41" s="154">
        <v>3703623</v>
      </c>
      <c r="J41" s="5"/>
      <c r="K41" s="446"/>
    </row>
    <row r="42" spans="1:11" s="1" customFormat="1" x14ac:dyDescent="0.25">
      <c r="A42" s="153"/>
      <c r="B42" s="155"/>
      <c r="C42" s="155"/>
      <c r="D42" s="155"/>
      <c r="E42" s="155"/>
      <c r="F42" s="154"/>
      <c r="G42" s="154"/>
      <c r="H42" s="154"/>
      <c r="J42" s="266"/>
      <c r="K42" s="446"/>
    </row>
    <row r="43" spans="1:11" s="1" customFormat="1" ht="12.75" thickBot="1" x14ac:dyDescent="0.3">
      <c r="A43" s="158" t="s">
        <v>407</v>
      </c>
      <c r="B43" s="155"/>
      <c r="C43" s="155"/>
      <c r="D43" s="155"/>
      <c r="E43" s="19"/>
      <c r="F43" s="267">
        <f>F40+F41</f>
        <v>15242662.785330001</v>
      </c>
      <c r="G43" s="154"/>
      <c r="H43" s="267">
        <f>H40+H41</f>
        <v>2728094.6509999996</v>
      </c>
      <c r="I43" s="342">
        <f>+F43-SAL!F10</f>
        <v>-0.21466999873518944</v>
      </c>
      <c r="J43" s="5"/>
      <c r="K43" s="446"/>
    </row>
    <row r="44" spans="1:11" s="1" customFormat="1" ht="12.75" thickTop="1" x14ac:dyDescent="0.25">
      <c r="A44" s="157"/>
      <c r="B44" s="155"/>
      <c r="C44" s="155"/>
      <c r="D44" s="155"/>
      <c r="E44" s="11"/>
      <c r="F44" s="156"/>
      <c r="G44" s="155"/>
      <c r="H44" s="154"/>
      <c r="J44" s="5"/>
      <c r="K44" s="485"/>
    </row>
    <row r="45" spans="1:11" s="1" customFormat="1" x14ac:dyDescent="0.25">
      <c r="A45" s="157"/>
      <c r="B45" s="155"/>
      <c r="C45" s="155"/>
      <c r="D45" s="155"/>
      <c r="E45" s="11"/>
      <c r="F45" s="156"/>
      <c r="G45" s="155"/>
      <c r="H45" s="154"/>
      <c r="J45" s="5"/>
      <c r="K45" s="446"/>
    </row>
    <row r="46" spans="1:11" s="1" customFormat="1" x14ac:dyDescent="0.25">
      <c r="A46" s="1" t="str">
        <f>SAL!$A$37</f>
        <v>The annexed notes from 1 to 16 form an integral part of these condensed interim financial statements.</v>
      </c>
      <c r="D46" s="3"/>
      <c r="J46" s="5"/>
      <c r="K46" s="446"/>
    </row>
    <row r="47" spans="1:11" s="1" customFormat="1" x14ac:dyDescent="0.25">
      <c r="D47" s="3"/>
      <c r="J47" s="5"/>
      <c r="K47" s="446"/>
    </row>
    <row r="48" spans="1:11" s="1" customFormat="1" x14ac:dyDescent="0.25">
      <c r="D48" s="3"/>
      <c r="J48" s="5"/>
      <c r="K48" s="446"/>
    </row>
    <row r="49" spans="1:11" s="1" customFormat="1" x14ac:dyDescent="0.2">
      <c r="A49" s="50" t="str">
        <f>SAL!$A$40</f>
        <v xml:space="preserve">                                                       For MCB-Arif Habib Savings and Investments Limited</v>
      </c>
      <c r="B49" s="17"/>
      <c r="C49" s="17"/>
      <c r="D49" s="17"/>
      <c r="J49" s="5"/>
      <c r="K49" s="446"/>
    </row>
    <row r="50" spans="1:11" s="1" customFormat="1" x14ac:dyDescent="0.2">
      <c r="A50" s="49" t="str">
        <f>SAL!$A$41</f>
        <v xml:space="preserve">                                                                               (Management Company)</v>
      </c>
      <c r="B50" s="17"/>
      <c r="C50" s="17"/>
      <c r="D50" s="17"/>
      <c r="J50" s="5"/>
      <c r="K50" s="446"/>
    </row>
    <row r="51" spans="1:11" s="1" customFormat="1" x14ac:dyDescent="0.2">
      <c r="A51" s="15"/>
      <c r="B51" s="15"/>
      <c r="C51" s="9"/>
      <c r="D51" s="13"/>
      <c r="J51" s="5"/>
      <c r="K51" s="446"/>
    </row>
    <row r="52" spans="1:11" s="1" customFormat="1" x14ac:dyDescent="0.2">
      <c r="A52" s="15"/>
      <c r="B52" s="15"/>
      <c r="C52" s="9"/>
      <c r="D52" s="13"/>
      <c r="J52" s="5"/>
      <c r="K52" s="446"/>
    </row>
    <row r="53" spans="1:11" s="1" customFormat="1" x14ac:dyDescent="0.2">
      <c r="A53" s="15"/>
      <c r="B53" s="15"/>
      <c r="C53" s="9"/>
      <c r="D53" s="13"/>
      <c r="J53" s="5"/>
      <c r="K53" s="446"/>
    </row>
    <row r="54" spans="1:11" s="1" customFormat="1" x14ac:dyDescent="0.2">
      <c r="A54" s="15"/>
      <c r="B54" s="15"/>
      <c r="C54" s="9"/>
      <c r="D54" s="13"/>
      <c r="J54" s="5"/>
      <c r="K54" s="446"/>
    </row>
    <row r="55" spans="1:11" s="1" customFormat="1" x14ac:dyDescent="0.25">
      <c r="A55" s="50" t="str">
        <f>SAL!$A$46</f>
        <v xml:space="preserve">           _____________________                          _____________________                          _____________________</v>
      </c>
      <c r="J55" s="5"/>
      <c r="K55" s="446"/>
    </row>
    <row r="56" spans="1:11" s="1" customFormat="1" x14ac:dyDescent="0.2">
      <c r="A56" s="49" t="str">
        <f>SAL!$A$47</f>
        <v xml:space="preserve">            Chief Executive Officer                              Chief Financial Officer                                          Director</v>
      </c>
      <c r="J56" s="5"/>
      <c r="K56" s="446"/>
    </row>
  </sheetData>
  <mergeCells count="2">
    <mergeCell ref="F8:H8"/>
    <mergeCell ref="F5:H5"/>
  </mergeCells>
  <printOptions horizontalCentered="1"/>
  <pageMargins left="0.75" right="0.5" top="0.5" bottom="0.4" header="0.3" footer="0.3"/>
  <pageSetup paperSize="9" orientation="portrait" r:id="rId1"/>
  <cellWatches>
    <cellWatch r="K43"/>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74"/>
  <sheetViews>
    <sheetView view="pageBreakPreview" topLeftCell="A75" zoomScaleNormal="100" zoomScaleSheetLayoutView="100" workbookViewId="0">
      <selection activeCell="B88" sqref="B88"/>
    </sheetView>
  </sheetViews>
  <sheetFormatPr defaultColWidth="9" defaultRowHeight="12" x14ac:dyDescent="0.2"/>
  <cols>
    <col min="1" max="1" width="5.125" style="48" customWidth="1"/>
    <col min="2" max="2" width="2.375" style="48" customWidth="1"/>
    <col min="3" max="3" width="25.625" style="48" customWidth="1"/>
    <col min="4" max="4" width="5.625" style="48" customWidth="1"/>
    <col min="5" max="5" width="10.375" style="48" customWidth="1"/>
    <col min="6" max="6" width="1.125" style="48" customWidth="1"/>
    <col min="7" max="7" width="10.375" style="48" customWidth="1"/>
    <col min="8" max="8" width="1.125" style="48" customWidth="1"/>
    <col min="9" max="9" width="10.375" style="48" customWidth="1"/>
    <col min="10" max="10" width="1.125" style="48" customWidth="1"/>
    <col min="11" max="11" width="10.375" style="48" customWidth="1"/>
    <col min="12" max="16384" width="9" style="48"/>
  </cols>
  <sheetData>
    <row r="1" spans="1:11" s="173" customFormat="1" x14ac:dyDescent="0.2">
      <c r="A1" s="312" t="str">
        <f>CF!A1</f>
        <v>PAKISTAN CASH MANAGEMENT FUND</v>
      </c>
      <c r="B1" s="311"/>
      <c r="C1" s="311"/>
      <c r="D1" s="311"/>
      <c r="E1" s="311"/>
      <c r="F1" s="311"/>
      <c r="G1" s="311"/>
      <c r="H1" s="311"/>
      <c r="I1" s="311"/>
      <c r="J1" s="182"/>
      <c r="K1" s="182"/>
    </row>
    <row r="2" spans="1:11" s="173" customFormat="1" x14ac:dyDescent="0.2">
      <c r="A2" s="312" t="s">
        <v>127</v>
      </c>
      <c r="B2" s="311"/>
      <c r="C2" s="311"/>
      <c r="D2" s="311"/>
      <c r="E2" s="311"/>
      <c r="F2" s="311"/>
      <c r="G2" s="311"/>
      <c r="H2" s="311"/>
      <c r="I2" s="311"/>
      <c r="J2" s="310"/>
      <c r="K2" s="310"/>
    </row>
    <row r="3" spans="1:11" s="173" customFormat="1" x14ac:dyDescent="0.2">
      <c r="A3" s="309" t="str">
        <f>+CF!A3</f>
        <v>FOR THE NINE MONTHS ENDED MARCH 31, 2022</v>
      </c>
      <c r="B3" s="308"/>
      <c r="C3" s="308"/>
      <c r="D3" s="308"/>
      <c r="E3" s="308"/>
      <c r="F3" s="308"/>
      <c r="G3" s="308"/>
      <c r="H3" s="308"/>
      <c r="I3" s="308"/>
      <c r="J3" s="307"/>
      <c r="K3" s="307"/>
    </row>
    <row r="4" spans="1:11" s="173" customFormat="1" x14ac:dyDescent="0.2">
      <c r="A4" s="306"/>
      <c r="B4" s="301"/>
      <c r="C4" s="301"/>
      <c r="D4" s="301"/>
      <c r="E4" s="301"/>
      <c r="F4" s="301"/>
      <c r="G4" s="301"/>
      <c r="H4" s="301"/>
      <c r="I4" s="301"/>
      <c r="J4" s="301"/>
      <c r="K4" s="301"/>
    </row>
    <row r="5" spans="1:11" s="235" customFormat="1" x14ac:dyDescent="0.2">
      <c r="A5" s="306"/>
      <c r="B5" s="304"/>
      <c r="C5" s="304"/>
      <c r="D5" s="304"/>
      <c r="E5" s="304"/>
      <c r="F5" s="304"/>
      <c r="G5" s="304"/>
      <c r="H5" s="304"/>
      <c r="I5" s="304"/>
      <c r="J5" s="304"/>
      <c r="K5" s="304"/>
    </row>
    <row r="6" spans="1:11" s="173" customFormat="1" x14ac:dyDescent="0.2">
      <c r="A6" s="305" t="s">
        <v>126</v>
      </c>
      <c r="B6" s="304" t="s">
        <v>125</v>
      </c>
      <c r="C6" s="263"/>
      <c r="D6" s="263"/>
      <c r="E6" s="263"/>
      <c r="F6" s="263"/>
      <c r="G6" s="263"/>
      <c r="H6" s="263"/>
      <c r="I6" s="301"/>
      <c r="J6" s="301"/>
      <c r="K6" s="263"/>
    </row>
    <row r="7" spans="1:11" s="173" customFormat="1" x14ac:dyDescent="0.2">
      <c r="A7" s="1"/>
      <c r="B7" s="263"/>
      <c r="C7" s="263"/>
      <c r="D7" s="263"/>
      <c r="E7" s="263"/>
      <c r="F7" s="263"/>
      <c r="G7" s="263"/>
      <c r="H7" s="263"/>
      <c r="I7" s="301"/>
      <c r="J7" s="301"/>
      <c r="K7" s="263"/>
    </row>
    <row r="8" spans="1:11" s="173" customFormat="1" x14ac:dyDescent="0.2">
      <c r="A8" s="302">
        <f>A6+0.1</f>
        <v>1.1000000000000001</v>
      </c>
      <c r="B8" s="753" t="s">
        <v>893</v>
      </c>
      <c r="C8" s="753"/>
      <c r="D8" s="753"/>
      <c r="E8" s="753"/>
      <c r="F8" s="753"/>
      <c r="G8" s="753"/>
      <c r="H8" s="753"/>
      <c r="I8" s="753"/>
      <c r="J8" s="753"/>
      <c r="K8" s="753"/>
    </row>
    <row r="9" spans="1:11" s="173" customFormat="1" x14ac:dyDescent="0.2">
      <c r="A9" s="1"/>
      <c r="B9" s="753"/>
      <c r="C9" s="753"/>
      <c r="D9" s="753"/>
      <c r="E9" s="753"/>
      <c r="F9" s="753"/>
      <c r="G9" s="753"/>
      <c r="H9" s="753"/>
      <c r="I9" s="753"/>
      <c r="J9" s="753"/>
      <c r="K9" s="753"/>
    </row>
    <row r="10" spans="1:11" s="173" customFormat="1" x14ac:dyDescent="0.2">
      <c r="A10" s="1"/>
      <c r="B10" s="753"/>
      <c r="C10" s="753"/>
      <c r="D10" s="753"/>
      <c r="E10" s="753"/>
      <c r="F10" s="753"/>
      <c r="G10" s="753"/>
      <c r="H10" s="753"/>
      <c r="I10" s="753"/>
      <c r="J10" s="753"/>
      <c r="K10" s="753"/>
    </row>
    <row r="11" spans="1:11" s="173" customFormat="1" x14ac:dyDescent="0.2">
      <c r="A11" s="1"/>
      <c r="B11" s="753"/>
      <c r="C11" s="753"/>
      <c r="D11" s="753"/>
      <c r="E11" s="753"/>
      <c r="F11" s="753"/>
      <c r="G11" s="753"/>
      <c r="H11" s="753"/>
      <c r="I11" s="753"/>
      <c r="J11" s="753"/>
      <c r="K11" s="753"/>
    </row>
    <row r="12" spans="1:11" s="235" customFormat="1" x14ac:dyDescent="0.2">
      <c r="A12" s="289"/>
      <c r="B12" s="753"/>
      <c r="C12" s="753"/>
      <c r="D12" s="753"/>
      <c r="E12" s="753"/>
      <c r="F12" s="753"/>
      <c r="G12" s="753"/>
      <c r="H12" s="753"/>
      <c r="I12" s="753"/>
      <c r="J12" s="753"/>
      <c r="K12" s="753"/>
    </row>
    <row r="13" spans="1:11" s="235" customFormat="1" x14ac:dyDescent="0.2">
      <c r="A13" s="289"/>
      <c r="B13" s="753"/>
      <c r="C13" s="753"/>
      <c r="D13" s="753"/>
      <c r="E13" s="753"/>
      <c r="F13" s="753"/>
      <c r="G13" s="753"/>
      <c r="H13" s="753"/>
      <c r="I13" s="753"/>
      <c r="J13" s="753"/>
      <c r="K13" s="753"/>
    </row>
    <row r="14" spans="1:11" s="173" customFormat="1" x14ac:dyDescent="0.2">
      <c r="A14" s="303"/>
      <c r="B14" s="263"/>
      <c r="C14" s="263"/>
      <c r="D14" s="263"/>
      <c r="E14" s="263"/>
      <c r="F14" s="263"/>
      <c r="G14" s="263"/>
      <c r="H14" s="263"/>
      <c r="I14" s="263"/>
      <c r="J14" s="263"/>
      <c r="K14" s="263"/>
    </row>
    <row r="15" spans="1:11" s="235" customFormat="1" hidden="1" x14ac:dyDescent="0.2">
      <c r="A15" s="302">
        <f>A8+0.1</f>
        <v>1.2000000000000002</v>
      </c>
      <c r="B15" s="754" t="s">
        <v>324</v>
      </c>
      <c r="C15" s="754"/>
      <c r="D15" s="754"/>
      <c r="E15" s="754"/>
      <c r="F15" s="754"/>
      <c r="G15" s="754"/>
      <c r="H15" s="754"/>
      <c r="I15" s="754"/>
      <c r="J15" s="754"/>
      <c r="K15" s="754"/>
    </row>
    <row r="16" spans="1:11" s="235" customFormat="1" hidden="1" x14ac:dyDescent="0.2">
      <c r="A16" s="303"/>
      <c r="B16" s="754"/>
      <c r="C16" s="754"/>
      <c r="D16" s="754"/>
      <c r="E16" s="754"/>
      <c r="F16" s="754"/>
      <c r="G16" s="754"/>
      <c r="H16" s="754"/>
      <c r="I16" s="754"/>
      <c r="J16" s="754"/>
      <c r="K16" s="754"/>
    </row>
    <row r="17" spans="1:11" s="235" customFormat="1" hidden="1" x14ac:dyDescent="0.2">
      <c r="A17" s="303"/>
      <c r="B17" s="289"/>
      <c r="C17" s="289"/>
      <c r="D17" s="289"/>
      <c r="E17" s="289"/>
      <c r="F17" s="289"/>
      <c r="G17" s="289"/>
      <c r="H17" s="289"/>
      <c r="I17" s="289"/>
      <c r="J17" s="289"/>
      <c r="K17" s="289"/>
    </row>
    <row r="18" spans="1:11" s="173" customFormat="1" x14ac:dyDescent="0.2">
      <c r="A18" s="302">
        <f>A8+0.1</f>
        <v>1.2000000000000002</v>
      </c>
      <c r="B18" s="754" t="s">
        <v>408</v>
      </c>
      <c r="C18" s="754"/>
      <c r="D18" s="754"/>
      <c r="E18" s="754"/>
      <c r="F18" s="754"/>
      <c r="G18" s="754"/>
      <c r="H18" s="754"/>
      <c r="I18" s="754"/>
      <c r="J18" s="754"/>
      <c r="K18" s="754"/>
    </row>
    <row r="19" spans="1:11" s="173" customFormat="1" x14ac:dyDescent="0.2">
      <c r="A19" s="1"/>
      <c r="B19" s="754"/>
      <c r="C19" s="754"/>
      <c r="D19" s="754"/>
      <c r="E19" s="754"/>
      <c r="F19" s="754"/>
      <c r="G19" s="754"/>
      <c r="H19" s="754"/>
      <c r="I19" s="754"/>
      <c r="J19" s="754"/>
      <c r="K19" s="754"/>
    </row>
    <row r="20" spans="1:11" s="173" customFormat="1" x14ac:dyDescent="0.2">
      <c r="A20" s="1"/>
      <c r="B20" s="754"/>
      <c r="C20" s="754"/>
      <c r="D20" s="754"/>
      <c r="E20" s="754"/>
      <c r="F20" s="754"/>
      <c r="G20" s="754"/>
      <c r="H20" s="754"/>
      <c r="I20" s="754"/>
      <c r="J20" s="754"/>
      <c r="K20" s="754"/>
    </row>
    <row r="21" spans="1:11" s="235" customFormat="1" x14ac:dyDescent="0.2">
      <c r="A21" s="289"/>
      <c r="B21" s="754"/>
      <c r="C21" s="754"/>
      <c r="D21" s="754"/>
      <c r="E21" s="754"/>
      <c r="F21" s="754"/>
      <c r="G21" s="754"/>
      <c r="H21" s="754"/>
      <c r="I21" s="754"/>
      <c r="J21" s="754"/>
      <c r="K21" s="754"/>
    </row>
    <row r="22" spans="1:11" s="173" customFormat="1" x14ac:dyDescent="0.2">
      <c r="A22" s="289"/>
      <c r="B22" s="263"/>
      <c r="C22" s="263"/>
      <c r="D22" s="263"/>
      <c r="E22" s="263"/>
      <c r="F22" s="263"/>
      <c r="G22" s="263"/>
      <c r="H22" s="263"/>
      <c r="I22" s="263"/>
      <c r="J22" s="263"/>
      <c r="K22" s="263"/>
    </row>
    <row r="23" spans="1:11" s="173" customFormat="1" x14ac:dyDescent="0.2">
      <c r="A23" s="302">
        <f>A18+0.1</f>
        <v>1.3000000000000003</v>
      </c>
      <c r="B23" s="748" t="s">
        <v>409</v>
      </c>
      <c r="C23" s="748"/>
      <c r="D23" s="748"/>
      <c r="E23" s="748"/>
      <c r="F23" s="748"/>
      <c r="G23" s="748"/>
      <c r="H23" s="748"/>
      <c r="I23" s="748"/>
      <c r="J23" s="748"/>
      <c r="K23" s="748"/>
    </row>
    <row r="24" spans="1:11" s="173" customFormat="1" x14ac:dyDescent="0.2">
      <c r="A24" s="1"/>
      <c r="B24" s="748"/>
      <c r="C24" s="748"/>
      <c r="D24" s="748"/>
      <c r="E24" s="748"/>
      <c r="F24" s="748"/>
      <c r="G24" s="748"/>
      <c r="H24" s="748"/>
      <c r="I24" s="748"/>
      <c r="J24" s="748"/>
      <c r="K24" s="748"/>
    </row>
    <row r="25" spans="1:11" s="173" customFormat="1" x14ac:dyDescent="0.2">
      <c r="A25" s="1"/>
      <c r="B25" s="748"/>
      <c r="C25" s="748"/>
      <c r="D25" s="748"/>
      <c r="E25" s="748"/>
      <c r="F25" s="748"/>
      <c r="G25" s="748"/>
      <c r="H25" s="748"/>
      <c r="I25" s="748"/>
      <c r="J25" s="748"/>
      <c r="K25" s="748"/>
    </row>
    <row r="26" spans="1:11" s="173" customFormat="1" x14ac:dyDescent="0.2">
      <c r="A26" s="1"/>
      <c r="B26" s="263"/>
      <c r="C26" s="263"/>
      <c r="D26" s="263"/>
      <c r="E26" s="263"/>
      <c r="F26" s="263"/>
      <c r="G26" s="263"/>
      <c r="H26" s="263"/>
      <c r="I26" s="263"/>
      <c r="J26" s="263"/>
      <c r="K26" s="263"/>
    </row>
    <row r="27" spans="1:11" s="173" customFormat="1" x14ac:dyDescent="0.2">
      <c r="A27" s="302">
        <f>A23+0.1</f>
        <v>1.4000000000000004</v>
      </c>
      <c r="B27" s="748" t="s">
        <v>124</v>
      </c>
      <c r="C27" s="748"/>
      <c r="D27" s="748"/>
      <c r="E27" s="748"/>
      <c r="F27" s="748"/>
      <c r="G27" s="748"/>
      <c r="H27" s="748"/>
      <c r="I27" s="748"/>
      <c r="J27" s="748"/>
      <c r="K27" s="748"/>
    </row>
    <row r="28" spans="1:11" s="173" customFormat="1" x14ac:dyDescent="0.2">
      <c r="A28" s="1"/>
      <c r="B28" s="748"/>
      <c r="C28" s="748"/>
      <c r="D28" s="748"/>
      <c r="E28" s="748"/>
      <c r="F28" s="748"/>
      <c r="G28" s="748"/>
      <c r="H28" s="748"/>
      <c r="I28" s="748"/>
      <c r="J28" s="748"/>
      <c r="K28" s="748"/>
    </row>
    <row r="29" spans="1:11" s="173" customFormat="1" x14ac:dyDescent="0.2">
      <c r="A29" s="1"/>
      <c r="B29" s="263"/>
      <c r="C29" s="263"/>
      <c r="D29" s="263"/>
      <c r="E29" s="263"/>
      <c r="F29" s="263"/>
      <c r="G29" s="263"/>
      <c r="H29" s="263"/>
      <c r="I29" s="263"/>
      <c r="J29" s="263"/>
      <c r="K29" s="263"/>
    </row>
    <row r="30" spans="1:11" s="173" customFormat="1" x14ac:dyDescent="0.2">
      <c r="A30" s="302">
        <f>A27+0.1</f>
        <v>1.5000000000000004</v>
      </c>
      <c r="B30" s="748" t="s">
        <v>688</v>
      </c>
      <c r="C30" s="748"/>
      <c r="D30" s="748"/>
      <c r="E30" s="748"/>
      <c r="F30" s="748"/>
      <c r="G30" s="748"/>
      <c r="H30" s="748"/>
      <c r="I30" s="748"/>
      <c r="J30" s="748"/>
      <c r="K30" s="748"/>
    </row>
    <row r="31" spans="1:11" s="173" customFormat="1" x14ac:dyDescent="0.2">
      <c r="A31" s="302"/>
      <c r="B31" s="748"/>
      <c r="C31" s="748"/>
      <c r="D31" s="748"/>
      <c r="E31" s="748"/>
      <c r="F31" s="748"/>
      <c r="G31" s="748"/>
      <c r="H31" s="748"/>
      <c r="I31" s="748"/>
      <c r="J31" s="748"/>
      <c r="K31" s="748"/>
    </row>
    <row r="32" spans="1:11" s="173" customFormat="1" ht="3" customHeight="1" x14ac:dyDescent="0.2">
      <c r="A32" s="302"/>
      <c r="B32" s="748"/>
      <c r="C32" s="748"/>
      <c r="D32" s="748"/>
      <c r="E32" s="748"/>
      <c r="F32" s="748"/>
      <c r="G32" s="748"/>
      <c r="H32" s="748"/>
      <c r="I32" s="748"/>
      <c r="J32" s="748"/>
      <c r="K32" s="748"/>
    </row>
    <row r="33" spans="1:11" s="173" customFormat="1" x14ac:dyDescent="0.2">
      <c r="B33" s="243"/>
      <c r="C33" s="243"/>
      <c r="D33" s="243"/>
      <c r="E33" s="243"/>
      <c r="F33" s="243"/>
      <c r="G33" s="243"/>
      <c r="H33" s="243"/>
      <c r="I33" s="243"/>
      <c r="J33" s="243"/>
      <c r="K33" s="243"/>
    </row>
    <row r="34" spans="1:11" s="173" customFormat="1" ht="12" customHeight="1" x14ac:dyDescent="0.2">
      <c r="A34" s="302">
        <f>A30+0.1</f>
        <v>1.6000000000000005</v>
      </c>
      <c r="B34" s="744" t="s">
        <v>707</v>
      </c>
      <c r="C34" s="744"/>
      <c r="D34" s="744"/>
      <c r="E34" s="744"/>
      <c r="F34" s="744"/>
      <c r="G34" s="744"/>
      <c r="H34" s="744"/>
      <c r="I34" s="744"/>
      <c r="J34" s="744"/>
      <c r="K34" s="744"/>
    </row>
    <row r="35" spans="1:11" s="235" customFormat="1" x14ac:dyDescent="0.2">
      <c r="A35" s="302"/>
      <c r="B35" s="236"/>
      <c r="C35" s="236"/>
      <c r="D35" s="236"/>
      <c r="E35" s="236"/>
      <c r="F35" s="236"/>
      <c r="G35" s="236"/>
      <c r="H35" s="236"/>
      <c r="I35" s="236"/>
      <c r="J35" s="236"/>
      <c r="K35" s="236"/>
    </row>
    <row r="36" spans="1:11" s="235" customFormat="1" ht="11.45" customHeight="1" x14ac:dyDescent="0.2">
      <c r="A36" s="302">
        <f>+A34+0.1</f>
        <v>1.7000000000000006</v>
      </c>
      <c r="B36" s="748" t="s">
        <v>897</v>
      </c>
      <c r="C36" s="748"/>
      <c r="D36" s="748"/>
      <c r="E36" s="748"/>
      <c r="F36" s="748"/>
      <c r="G36" s="748"/>
      <c r="H36" s="748"/>
      <c r="I36" s="748"/>
      <c r="J36" s="748"/>
      <c r="K36" s="748"/>
    </row>
    <row r="37" spans="1:11" s="235" customFormat="1" ht="48.6" customHeight="1" x14ac:dyDescent="0.2">
      <c r="A37" s="555"/>
      <c r="B37" s="748"/>
      <c r="C37" s="748"/>
      <c r="D37" s="748"/>
      <c r="E37" s="748"/>
      <c r="F37" s="748"/>
      <c r="G37" s="748"/>
      <c r="H37" s="748"/>
      <c r="I37" s="748"/>
      <c r="J37" s="748"/>
      <c r="K37" s="748"/>
    </row>
    <row r="38" spans="1:11" s="235" customFormat="1" x14ac:dyDescent="0.2">
      <c r="A38" s="555"/>
      <c r="B38" s="555"/>
      <c r="C38" s="555"/>
      <c r="D38" s="555"/>
      <c r="E38" s="555"/>
      <c r="F38" s="555"/>
      <c r="G38" s="555"/>
      <c r="H38" s="555"/>
      <c r="I38" s="555"/>
      <c r="J38" s="555"/>
      <c r="K38" s="555"/>
    </row>
    <row r="39" spans="1:11" s="173" customFormat="1" x14ac:dyDescent="0.2">
      <c r="A39" s="241">
        <v>2</v>
      </c>
      <c r="B39" s="301" t="s">
        <v>123</v>
      </c>
      <c r="C39" s="1"/>
      <c r="D39" s="1"/>
      <c r="E39" s="1"/>
      <c r="F39" s="1"/>
      <c r="G39" s="1"/>
      <c r="H39" s="1"/>
      <c r="I39" s="1"/>
      <c r="J39" s="1"/>
      <c r="K39" s="1"/>
    </row>
    <row r="40" spans="1:11" s="235" customFormat="1" x14ac:dyDescent="0.2">
      <c r="A40" s="305"/>
      <c r="B40" s="528"/>
      <c r="C40" s="555"/>
      <c r="D40" s="555"/>
      <c r="E40" s="555"/>
      <c r="F40" s="555"/>
      <c r="G40" s="555"/>
      <c r="H40" s="555"/>
      <c r="I40" s="555"/>
      <c r="J40" s="555"/>
      <c r="K40" s="555"/>
    </row>
    <row r="41" spans="1:11" s="235" customFormat="1" ht="12" customHeight="1" x14ac:dyDescent="0.2">
      <c r="A41" s="305">
        <v>2.1</v>
      </c>
      <c r="B41" s="528" t="s">
        <v>122</v>
      </c>
      <c r="C41" s="555"/>
      <c r="D41" s="555"/>
      <c r="E41" s="555"/>
      <c r="F41" s="555"/>
      <c r="G41" s="555"/>
      <c r="H41" s="555"/>
      <c r="I41" s="555"/>
      <c r="J41" s="555"/>
      <c r="K41" s="555"/>
    </row>
    <row r="42" spans="1:11" s="235" customFormat="1" x14ac:dyDescent="0.2">
      <c r="A42" s="305"/>
      <c r="B42" s="528"/>
      <c r="C42" s="555"/>
      <c r="D42" s="555"/>
      <c r="E42" s="555"/>
      <c r="F42" s="555"/>
      <c r="G42" s="555"/>
      <c r="H42" s="555"/>
      <c r="I42" s="555"/>
      <c r="J42" s="555"/>
      <c r="K42" s="555"/>
    </row>
    <row r="43" spans="1:11" s="235" customFormat="1" ht="12" customHeight="1" x14ac:dyDescent="0.2">
      <c r="A43" s="305" t="s">
        <v>508</v>
      </c>
      <c r="B43" s="744" t="s">
        <v>499</v>
      </c>
      <c r="C43" s="744"/>
      <c r="D43" s="744"/>
      <c r="E43" s="744"/>
      <c r="F43" s="744"/>
      <c r="G43" s="744"/>
      <c r="H43" s="744"/>
      <c r="I43" s="744"/>
      <c r="J43" s="744"/>
      <c r="K43" s="744"/>
    </row>
    <row r="44" spans="1:11" s="235" customFormat="1" ht="12" customHeight="1" x14ac:dyDescent="0.2">
      <c r="A44" s="305"/>
      <c r="B44" s="744"/>
      <c r="C44" s="744"/>
      <c r="D44" s="744"/>
      <c r="E44" s="744"/>
      <c r="F44" s="744"/>
      <c r="G44" s="744"/>
      <c r="H44" s="744"/>
      <c r="I44" s="744"/>
      <c r="J44" s="744"/>
      <c r="K44" s="744"/>
    </row>
    <row r="45" spans="1:11" s="235" customFormat="1" x14ac:dyDescent="0.2">
      <c r="A45" s="305"/>
      <c r="B45" s="528"/>
      <c r="C45" s="555"/>
      <c r="D45" s="555"/>
      <c r="E45" s="555"/>
      <c r="F45" s="555"/>
      <c r="G45" s="555"/>
      <c r="H45" s="555"/>
      <c r="I45" s="555"/>
      <c r="J45" s="555"/>
      <c r="K45" s="555"/>
    </row>
    <row r="46" spans="1:11" s="235" customFormat="1" ht="12" customHeight="1" x14ac:dyDescent="0.2">
      <c r="A46" s="305"/>
      <c r="B46" s="624" t="s">
        <v>121</v>
      </c>
      <c r="C46" s="750" t="s">
        <v>500</v>
      </c>
      <c r="D46" s="751"/>
      <c r="E46" s="751"/>
      <c r="F46" s="751"/>
      <c r="G46" s="751"/>
      <c r="H46" s="751"/>
      <c r="I46" s="751"/>
      <c r="J46" s="751"/>
      <c r="K46" s="751"/>
    </row>
    <row r="47" spans="1:11" s="235" customFormat="1" x14ac:dyDescent="0.2">
      <c r="A47" s="305"/>
      <c r="B47" s="119"/>
      <c r="C47" s="751"/>
      <c r="D47" s="751"/>
      <c r="E47" s="751"/>
      <c r="F47" s="751"/>
      <c r="G47" s="751"/>
      <c r="H47" s="751"/>
      <c r="I47" s="751"/>
      <c r="J47" s="751"/>
      <c r="K47" s="751"/>
    </row>
    <row r="48" spans="1:11" s="235" customFormat="1" x14ac:dyDescent="0.2">
      <c r="A48" s="305"/>
      <c r="B48" s="119"/>
      <c r="C48" s="119"/>
      <c r="D48" s="625"/>
      <c r="E48" s="625"/>
      <c r="F48" s="625"/>
      <c r="G48" s="625"/>
      <c r="H48" s="625"/>
      <c r="I48" s="625"/>
      <c r="J48" s="625"/>
      <c r="K48" s="625"/>
    </row>
    <row r="49" spans="1:11" s="235" customFormat="1" ht="12" customHeight="1" x14ac:dyDescent="0.2">
      <c r="A49" s="305"/>
      <c r="B49" s="624" t="s">
        <v>121</v>
      </c>
      <c r="C49" s="750" t="s">
        <v>501</v>
      </c>
      <c r="D49" s="751"/>
      <c r="E49" s="751"/>
      <c r="F49" s="751"/>
      <c r="G49" s="751"/>
      <c r="H49" s="751"/>
      <c r="I49" s="751"/>
      <c r="J49" s="751"/>
      <c r="K49" s="751"/>
    </row>
    <row r="50" spans="1:11" s="235" customFormat="1" x14ac:dyDescent="0.2">
      <c r="A50" s="305"/>
      <c r="B50" s="626"/>
      <c r="C50" s="751"/>
      <c r="D50" s="751"/>
      <c r="E50" s="751"/>
      <c r="F50" s="751"/>
      <c r="G50" s="751"/>
      <c r="H50" s="751"/>
      <c r="I50" s="751"/>
      <c r="J50" s="751"/>
      <c r="K50" s="751"/>
    </row>
    <row r="51" spans="1:11" s="235" customFormat="1" x14ac:dyDescent="0.2">
      <c r="A51" s="305"/>
      <c r="B51" s="627"/>
      <c r="C51" s="625"/>
      <c r="D51" s="625"/>
      <c r="E51" s="625"/>
      <c r="F51" s="625"/>
      <c r="G51" s="625"/>
      <c r="H51" s="625"/>
      <c r="I51" s="625"/>
      <c r="J51" s="625"/>
      <c r="K51" s="625"/>
    </row>
    <row r="52" spans="1:11" s="235" customFormat="1" ht="12" customHeight="1" x14ac:dyDescent="0.2">
      <c r="A52" s="305"/>
      <c r="B52" s="624" t="s">
        <v>121</v>
      </c>
      <c r="C52" s="752" t="s">
        <v>518</v>
      </c>
      <c r="D52" s="752"/>
      <c r="E52" s="752"/>
      <c r="F52" s="752"/>
      <c r="G52" s="752"/>
      <c r="H52" s="752"/>
      <c r="I52" s="752"/>
      <c r="J52" s="752"/>
      <c r="K52" s="752"/>
    </row>
    <row r="53" spans="1:11" s="235" customFormat="1" x14ac:dyDescent="0.2">
      <c r="A53" s="305"/>
      <c r="B53" s="514"/>
      <c r="C53" s="752"/>
      <c r="D53" s="752"/>
      <c r="E53" s="752"/>
      <c r="F53" s="752"/>
      <c r="G53" s="752"/>
      <c r="H53" s="752"/>
      <c r="I53" s="752"/>
      <c r="J53" s="752"/>
      <c r="K53" s="752"/>
    </row>
    <row r="54" spans="1:11" s="235" customFormat="1" ht="3" customHeight="1" x14ac:dyDescent="0.2">
      <c r="A54" s="305"/>
      <c r="B54" s="514"/>
      <c r="C54" s="752"/>
      <c r="D54" s="752"/>
      <c r="E54" s="752"/>
      <c r="F54" s="752"/>
      <c r="G54" s="752"/>
      <c r="H54" s="752"/>
      <c r="I54" s="752"/>
      <c r="J54" s="752"/>
      <c r="K54" s="752"/>
    </row>
    <row r="55" spans="1:11" s="235" customFormat="1" x14ac:dyDescent="0.2">
      <c r="A55" s="305"/>
      <c r="B55" s="514"/>
      <c r="C55" s="618"/>
      <c r="D55" s="618"/>
      <c r="E55" s="618"/>
      <c r="F55" s="618"/>
      <c r="G55" s="618"/>
      <c r="H55" s="618"/>
      <c r="I55" s="618"/>
      <c r="J55" s="618"/>
      <c r="K55" s="618"/>
    </row>
    <row r="56" spans="1:11" s="235" customFormat="1" ht="12" customHeight="1" x14ac:dyDescent="0.2">
      <c r="A56" s="305"/>
      <c r="B56" s="749" t="s">
        <v>502</v>
      </c>
      <c r="C56" s="749"/>
      <c r="D56" s="749"/>
      <c r="E56" s="749"/>
      <c r="F56" s="749"/>
      <c r="G56" s="749"/>
      <c r="H56" s="749"/>
      <c r="I56" s="749"/>
      <c r="J56" s="749"/>
      <c r="K56" s="749"/>
    </row>
    <row r="57" spans="1:11" s="235" customFormat="1" x14ac:dyDescent="0.2">
      <c r="A57" s="305"/>
      <c r="B57" s="749"/>
      <c r="C57" s="749"/>
      <c r="D57" s="749"/>
      <c r="E57" s="749"/>
      <c r="F57" s="749"/>
      <c r="G57" s="749"/>
      <c r="H57" s="749"/>
      <c r="I57" s="749"/>
      <c r="J57" s="749"/>
      <c r="K57" s="749"/>
    </row>
    <row r="58" spans="1:11" s="235" customFormat="1" x14ac:dyDescent="0.2">
      <c r="A58" s="305"/>
      <c r="B58" s="749"/>
      <c r="C58" s="749"/>
      <c r="D58" s="749"/>
      <c r="E58" s="749"/>
      <c r="F58" s="749"/>
      <c r="G58" s="749"/>
      <c r="H58" s="749"/>
      <c r="I58" s="749"/>
      <c r="J58" s="749"/>
      <c r="K58" s="749"/>
    </row>
    <row r="59" spans="1:11" s="235" customFormat="1" x14ac:dyDescent="0.2">
      <c r="A59" s="305"/>
      <c r="B59" s="749"/>
      <c r="C59" s="749"/>
      <c r="D59" s="749"/>
      <c r="E59" s="749"/>
      <c r="F59" s="749"/>
      <c r="G59" s="749"/>
      <c r="H59" s="749"/>
      <c r="I59" s="749"/>
      <c r="J59" s="749"/>
      <c r="K59" s="749"/>
    </row>
    <row r="60" spans="1:11" s="235" customFormat="1" x14ac:dyDescent="0.2">
      <c r="A60" s="305"/>
      <c r="B60" s="749"/>
      <c r="C60" s="749"/>
      <c r="D60" s="749"/>
      <c r="E60" s="749"/>
      <c r="F60" s="749"/>
      <c r="G60" s="749"/>
      <c r="H60" s="749"/>
      <c r="I60" s="749"/>
      <c r="J60" s="749"/>
      <c r="K60" s="749"/>
    </row>
    <row r="61" spans="1:11" s="235" customFormat="1" x14ac:dyDescent="0.2">
      <c r="A61" s="305"/>
      <c r="B61" s="633"/>
      <c r="C61" s="633"/>
      <c r="D61" s="633"/>
      <c r="E61" s="633"/>
      <c r="F61" s="633"/>
      <c r="G61" s="633"/>
      <c r="H61" s="633"/>
      <c r="I61" s="633"/>
      <c r="J61" s="633"/>
      <c r="K61" s="633"/>
    </row>
    <row r="62" spans="1:11" s="235" customFormat="1" ht="12" customHeight="1" x14ac:dyDescent="0.2">
      <c r="A62" s="305">
        <v>2.2000000000000002</v>
      </c>
      <c r="B62" s="745" t="s">
        <v>708</v>
      </c>
      <c r="C62" s="745"/>
      <c r="D62" s="745"/>
      <c r="E62" s="745"/>
      <c r="F62" s="745"/>
      <c r="G62" s="745"/>
      <c r="H62" s="745"/>
      <c r="I62" s="745"/>
      <c r="J62" s="745"/>
      <c r="K62" s="745"/>
    </row>
    <row r="63" spans="1:11" s="235" customFormat="1" x14ac:dyDescent="0.2">
      <c r="A63" s="305"/>
      <c r="B63" s="745"/>
      <c r="C63" s="745"/>
      <c r="D63" s="745"/>
      <c r="E63" s="745"/>
      <c r="F63" s="745"/>
      <c r="G63" s="745"/>
      <c r="H63" s="745"/>
      <c r="I63" s="745"/>
      <c r="J63" s="745"/>
      <c r="K63" s="745"/>
    </row>
    <row r="64" spans="1:11" s="235" customFormat="1" ht="62.45" customHeight="1" x14ac:dyDescent="0.2">
      <c r="A64" s="305"/>
      <c r="B64" s="745"/>
      <c r="C64" s="745"/>
      <c r="D64" s="745"/>
      <c r="E64" s="745"/>
      <c r="F64" s="745"/>
      <c r="G64" s="745"/>
      <c r="H64" s="745"/>
      <c r="I64" s="745"/>
      <c r="J64" s="745"/>
      <c r="K64" s="745"/>
    </row>
    <row r="65" spans="1:11" s="235" customFormat="1" x14ac:dyDescent="0.2">
      <c r="A65" s="305"/>
      <c r="B65" s="633"/>
      <c r="C65" s="633"/>
      <c r="D65" s="633"/>
      <c r="E65" s="633"/>
      <c r="F65" s="633"/>
      <c r="G65" s="633"/>
      <c r="H65" s="633"/>
      <c r="I65" s="633"/>
      <c r="J65" s="633"/>
      <c r="K65" s="633"/>
    </row>
    <row r="66" spans="1:11" ht="12" customHeight="1" x14ac:dyDescent="0.2">
      <c r="A66" s="170">
        <v>2.2999999999999998</v>
      </c>
      <c r="B66" s="746" t="s">
        <v>503</v>
      </c>
      <c r="C66" s="747"/>
      <c r="D66" s="747"/>
      <c r="E66" s="747"/>
      <c r="F66" s="747"/>
      <c r="G66" s="747"/>
      <c r="H66" s="747"/>
      <c r="I66" s="747"/>
      <c r="J66" s="747"/>
      <c r="K66" s="747"/>
    </row>
    <row r="67" spans="1:11" x14ac:dyDescent="0.2">
      <c r="A67" s="235"/>
      <c r="B67" s="747"/>
      <c r="C67" s="747"/>
      <c r="D67" s="747"/>
      <c r="E67" s="747"/>
      <c r="F67" s="747"/>
      <c r="G67" s="747"/>
      <c r="H67" s="747"/>
      <c r="I67" s="747"/>
      <c r="J67" s="747"/>
      <c r="K67" s="747"/>
    </row>
    <row r="68" spans="1:11" x14ac:dyDescent="0.2">
      <c r="A68" s="235"/>
      <c r="B68" s="747"/>
      <c r="C68" s="747"/>
      <c r="D68" s="747"/>
      <c r="E68" s="747"/>
      <c r="F68" s="747"/>
      <c r="G68" s="747"/>
      <c r="H68" s="747"/>
      <c r="I68" s="747"/>
      <c r="J68" s="747"/>
      <c r="K68" s="747"/>
    </row>
    <row r="69" spans="1:11" x14ac:dyDescent="0.2">
      <c r="A69" s="235"/>
      <c r="B69" s="628"/>
      <c r="C69" s="628"/>
      <c r="D69" s="628"/>
      <c r="E69" s="628"/>
      <c r="F69" s="628"/>
      <c r="G69" s="628"/>
      <c r="H69" s="628"/>
      <c r="I69" s="628"/>
      <c r="J69" s="628"/>
      <c r="K69" s="628"/>
    </row>
    <row r="70" spans="1:11" ht="12" customHeight="1" x14ac:dyDescent="0.2">
      <c r="A70" s="170">
        <v>2.4</v>
      </c>
      <c r="B70" s="748" t="s">
        <v>504</v>
      </c>
      <c r="C70" s="748"/>
      <c r="D70" s="748"/>
      <c r="E70" s="748"/>
      <c r="F70" s="748"/>
      <c r="G70" s="748"/>
      <c r="H70" s="748"/>
      <c r="I70" s="748"/>
      <c r="J70" s="748"/>
      <c r="K70" s="748"/>
    </row>
    <row r="71" spans="1:11" x14ac:dyDescent="0.2">
      <c r="A71" s="235"/>
      <c r="B71" s="748"/>
      <c r="C71" s="748"/>
      <c r="D71" s="748"/>
      <c r="E71" s="748"/>
      <c r="F71" s="748"/>
      <c r="G71" s="748"/>
      <c r="H71" s="748"/>
      <c r="I71" s="748"/>
      <c r="J71" s="748"/>
      <c r="K71" s="748"/>
    </row>
    <row r="72" spans="1:11" ht="15" x14ac:dyDescent="0.2">
      <c r="A72" s="235"/>
      <c r="B72" s="629"/>
      <c r="C72" s="629"/>
      <c r="D72" s="629"/>
      <c r="E72" s="629"/>
      <c r="F72" s="629"/>
      <c r="G72" s="629"/>
      <c r="H72" s="629"/>
      <c r="I72" s="629"/>
      <c r="J72" s="629"/>
      <c r="K72" s="629"/>
    </row>
    <row r="73" spans="1:11" ht="12" customHeight="1" x14ac:dyDescent="0.2">
      <c r="A73" s="170">
        <v>2.5</v>
      </c>
      <c r="B73" s="744" t="s">
        <v>505</v>
      </c>
      <c r="C73" s="744"/>
      <c r="D73" s="744"/>
      <c r="E73" s="744"/>
      <c r="F73" s="744"/>
      <c r="G73" s="744"/>
      <c r="H73" s="744"/>
      <c r="I73" s="744"/>
      <c r="J73" s="744"/>
      <c r="K73" s="744"/>
    </row>
    <row r="74" spans="1:11" x14ac:dyDescent="0.2">
      <c r="B74" s="744"/>
      <c r="C74" s="744"/>
      <c r="D74" s="744"/>
      <c r="E74" s="744"/>
      <c r="F74" s="744"/>
      <c r="G74" s="744"/>
      <c r="H74" s="744"/>
      <c r="I74" s="744"/>
      <c r="J74" s="744"/>
      <c r="K74" s="744"/>
    </row>
  </sheetData>
  <mergeCells count="17">
    <mergeCell ref="B8:K13"/>
    <mergeCell ref="B30:K32"/>
    <mergeCell ref="B15:K16"/>
    <mergeCell ref="B18:K21"/>
    <mergeCell ref="B23:K25"/>
    <mergeCell ref="B27:K28"/>
    <mergeCell ref="B70:K71"/>
    <mergeCell ref="B73:K74"/>
    <mergeCell ref="C46:K47"/>
    <mergeCell ref="C49:K50"/>
    <mergeCell ref="C52:K54"/>
    <mergeCell ref="B43:K44"/>
    <mergeCell ref="B62:K64"/>
    <mergeCell ref="B66:K68"/>
    <mergeCell ref="B36:K37"/>
    <mergeCell ref="B34:K34"/>
    <mergeCell ref="B56:K60"/>
  </mergeCells>
  <printOptions horizontalCentered="1"/>
  <pageMargins left="0.75" right="0.5" top="0.5" bottom="0.4"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T632"/>
  <sheetViews>
    <sheetView tabSelected="1" view="pageBreakPreview" topLeftCell="A583" zoomScale="95" zoomScaleNormal="100" zoomScaleSheetLayoutView="95" workbookViewId="0">
      <selection activeCell="B377" sqref="B377:K379"/>
    </sheetView>
  </sheetViews>
  <sheetFormatPr defaultColWidth="9" defaultRowHeight="12" x14ac:dyDescent="0.2"/>
  <cols>
    <col min="1" max="1" width="5.5" style="173" customWidth="1"/>
    <col min="2" max="2" width="2.375" style="173" customWidth="1"/>
    <col min="3" max="3" width="25.625" style="173" customWidth="1"/>
    <col min="4" max="4" width="5.625" style="173" customWidth="1"/>
    <col min="5" max="5" width="10.375" style="173" customWidth="1"/>
    <col min="6" max="6" width="1.125" style="173" customWidth="1"/>
    <col min="7" max="7" width="10.375" style="173" customWidth="1"/>
    <col min="8" max="8" width="1.125" style="173" customWidth="1"/>
    <col min="9" max="9" width="10.375" style="173" customWidth="1"/>
    <col min="10" max="10" width="1.125" style="173" customWidth="1"/>
    <col min="11" max="11" width="10.375" style="173" customWidth="1"/>
    <col min="12" max="12" width="11.625" style="173" bestFit="1" customWidth="1"/>
    <col min="13" max="13" width="17.125" style="173" bestFit="1" customWidth="1"/>
    <col min="14" max="16" width="9.125" style="173" bestFit="1" customWidth="1"/>
    <col min="17" max="17" width="11.625" style="173" bestFit="1" customWidth="1"/>
    <col min="18" max="19" width="9.875" style="173" bestFit="1" customWidth="1"/>
    <col min="20" max="16384" width="9" style="173"/>
  </cols>
  <sheetData>
    <row r="1" spans="1:11" s="292" customFormat="1" ht="0.95" customHeight="1" x14ac:dyDescent="0.25">
      <c r="A1" s="296"/>
      <c r="B1" s="294"/>
      <c r="C1" s="294"/>
      <c r="D1" s="294"/>
      <c r="E1" s="294"/>
      <c r="F1" s="294"/>
      <c r="G1" s="294"/>
      <c r="H1" s="294"/>
      <c r="I1" s="294"/>
      <c r="J1" s="294"/>
      <c r="K1" s="294"/>
    </row>
    <row r="2" spans="1:11" s="292" customFormat="1" x14ac:dyDescent="0.25">
      <c r="A2" s="241" t="s">
        <v>120</v>
      </c>
      <c r="B2" s="780" t="s">
        <v>119</v>
      </c>
      <c r="C2" s="780"/>
      <c r="D2" s="780"/>
      <c r="E2" s="780"/>
      <c r="F2" s="780"/>
      <c r="G2" s="780"/>
      <c r="H2" s="780"/>
      <c r="I2" s="780"/>
      <c r="J2" s="780"/>
      <c r="K2" s="780"/>
    </row>
    <row r="3" spans="1:11" s="292" customFormat="1" x14ac:dyDescent="0.25">
      <c r="A3" s="241"/>
      <c r="B3" s="780"/>
      <c r="C3" s="780"/>
      <c r="D3" s="780"/>
      <c r="E3" s="780"/>
      <c r="F3" s="780"/>
      <c r="G3" s="780"/>
      <c r="H3" s="780"/>
      <c r="I3" s="780"/>
      <c r="J3" s="780"/>
      <c r="K3" s="780"/>
    </row>
    <row r="4" spans="1:11" s="292" customFormat="1" x14ac:dyDescent="0.25">
      <c r="B4" s="300"/>
      <c r="C4" s="299"/>
      <c r="D4" s="299"/>
      <c r="E4" s="299"/>
      <c r="F4" s="299"/>
      <c r="G4" s="298"/>
      <c r="H4" s="298"/>
      <c r="I4" s="298"/>
      <c r="J4" s="298"/>
    </row>
    <row r="5" spans="1:11" s="292" customFormat="1" x14ac:dyDescent="0.25">
      <c r="A5" s="297">
        <f>A2+0.1</f>
        <v>3.1</v>
      </c>
      <c r="B5" s="758" t="s">
        <v>689</v>
      </c>
      <c r="C5" s="758"/>
      <c r="D5" s="758"/>
      <c r="E5" s="758"/>
      <c r="F5" s="758"/>
      <c r="G5" s="758"/>
      <c r="H5" s="758"/>
      <c r="I5" s="758"/>
      <c r="J5" s="758"/>
      <c r="K5" s="758"/>
    </row>
    <row r="6" spans="1:11" s="292" customFormat="1" x14ac:dyDescent="0.25">
      <c r="A6" s="296"/>
      <c r="B6" s="758"/>
      <c r="C6" s="758"/>
      <c r="D6" s="758"/>
      <c r="E6" s="758"/>
      <c r="F6" s="758"/>
      <c r="G6" s="758"/>
      <c r="H6" s="758"/>
      <c r="I6" s="758"/>
      <c r="J6" s="758"/>
      <c r="K6" s="758"/>
    </row>
    <row r="7" spans="1:11" s="292" customFormat="1" x14ac:dyDescent="0.25">
      <c r="A7" s="296"/>
      <c r="B7" s="758"/>
      <c r="C7" s="758"/>
      <c r="D7" s="758"/>
      <c r="E7" s="758"/>
      <c r="F7" s="758"/>
      <c r="G7" s="758"/>
      <c r="H7" s="758"/>
      <c r="I7" s="758"/>
      <c r="J7" s="758"/>
      <c r="K7" s="758"/>
    </row>
    <row r="8" spans="1:11" s="48" customFormat="1" x14ac:dyDescent="0.2">
      <c r="B8" s="235"/>
      <c r="C8" s="235"/>
      <c r="D8" s="235"/>
      <c r="E8" s="235"/>
      <c r="F8" s="235"/>
      <c r="G8" s="235"/>
      <c r="H8" s="235"/>
      <c r="I8" s="235"/>
      <c r="J8" s="235"/>
      <c r="K8" s="235"/>
    </row>
    <row r="9" spans="1:11" s="292" customFormat="1" x14ac:dyDescent="0.25">
      <c r="A9" s="295">
        <f>'Notes (remaining)'!A5+0.1</f>
        <v>3.2</v>
      </c>
      <c r="B9" s="758" t="s">
        <v>690</v>
      </c>
      <c r="C9" s="758"/>
      <c r="D9" s="758"/>
      <c r="E9" s="758"/>
      <c r="F9" s="758"/>
      <c r="G9" s="758"/>
      <c r="H9" s="758"/>
      <c r="I9" s="758"/>
      <c r="J9" s="758"/>
      <c r="K9" s="758"/>
    </row>
    <row r="10" spans="1:11" s="292" customFormat="1" x14ac:dyDescent="0.25">
      <c r="A10" s="296"/>
      <c r="B10" s="758"/>
      <c r="C10" s="758"/>
      <c r="D10" s="758"/>
      <c r="E10" s="758"/>
      <c r="F10" s="758"/>
      <c r="G10" s="758"/>
      <c r="H10" s="758"/>
      <c r="I10" s="758"/>
      <c r="J10" s="758"/>
      <c r="K10" s="758"/>
    </row>
    <row r="11" spans="1:11" s="292" customFormat="1" x14ac:dyDescent="0.25">
      <c r="A11" s="296"/>
      <c r="B11" s="758"/>
      <c r="C11" s="758"/>
      <c r="D11" s="758"/>
      <c r="E11" s="758"/>
      <c r="F11" s="758"/>
      <c r="G11" s="758"/>
      <c r="H11" s="758"/>
      <c r="I11" s="758"/>
      <c r="J11" s="758"/>
      <c r="K11" s="758"/>
    </row>
    <row r="12" spans="1:11" s="292" customFormat="1" x14ac:dyDescent="0.25">
      <c r="A12" s="296"/>
      <c r="B12" s="758"/>
      <c r="C12" s="758"/>
      <c r="D12" s="758"/>
      <c r="E12" s="758"/>
      <c r="F12" s="758"/>
      <c r="G12" s="758"/>
      <c r="H12" s="758"/>
      <c r="I12" s="758"/>
      <c r="J12" s="758"/>
      <c r="K12" s="758"/>
    </row>
    <row r="13" spans="1:11" s="292" customFormat="1" x14ac:dyDescent="0.25">
      <c r="A13" s="296"/>
      <c r="B13" s="758"/>
      <c r="C13" s="758"/>
      <c r="D13" s="758"/>
      <c r="E13" s="758"/>
      <c r="F13" s="758"/>
      <c r="G13" s="758"/>
      <c r="H13" s="758"/>
      <c r="I13" s="758"/>
      <c r="J13" s="758"/>
      <c r="K13" s="758"/>
    </row>
    <row r="14" spans="1:11" s="292" customFormat="1" x14ac:dyDescent="0.25">
      <c r="A14" s="296"/>
      <c r="B14" s="758"/>
      <c r="C14" s="758"/>
      <c r="D14" s="758"/>
      <c r="E14" s="758"/>
      <c r="F14" s="758"/>
      <c r="G14" s="758"/>
      <c r="H14" s="758"/>
      <c r="I14" s="758"/>
      <c r="J14" s="758"/>
      <c r="K14" s="758"/>
    </row>
    <row r="15" spans="1:11" s="292" customFormat="1" x14ac:dyDescent="0.25">
      <c r="A15" s="296"/>
      <c r="B15" s="758"/>
      <c r="C15" s="758"/>
      <c r="D15" s="758"/>
      <c r="E15" s="758"/>
      <c r="F15" s="758"/>
      <c r="G15" s="758"/>
      <c r="H15" s="758"/>
      <c r="I15" s="758"/>
      <c r="J15" s="758"/>
      <c r="K15" s="758"/>
    </row>
    <row r="16" spans="1:11" s="292" customFormat="1" x14ac:dyDescent="0.25">
      <c r="A16" s="296"/>
      <c r="B16" s="758"/>
      <c r="C16" s="758"/>
      <c r="D16" s="758"/>
      <c r="E16" s="758"/>
      <c r="F16" s="758"/>
      <c r="G16" s="758"/>
      <c r="H16" s="758"/>
      <c r="I16" s="758"/>
      <c r="J16" s="758"/>
      <c r="K16" s="758"/>
    </row>
    <row r="17" spans="1:13" s="292" customFormat="1" x14ac:dyDescent="0.25">
      <c r="A17" s="296"/>
      <c r="B17" s="758"/>
      <c r="C17" s="758"/>
      <c r="D17" s="758"/>
      <c r="E17" s="758"/>
      <c r="F17" s="758"/>
      <c r="G17" s="758"/>
      <c r="H17" s="758"/>
      <c r="I17" s="758"/>
      <c r="J17" s="758"/>
      <c r="K17" s="758"/>
    </row>
    <row r="18" spans="1:13" s="292" customFormat="1" x14ac:dyDescent="0.25">
      <c r="A18" s="296"/>
      <c r="B18" s="758"/>
      <c r="C18" s="758"/>
      <c r="D18" s="758"/>
      <c r="E18" s="758"/>
      <c r="F18" s="758"/>
      <c r="G18" s="758"/>
      <c r="H18" s="758"/>
      <c r="I18" s="758"/>
      <c r="J18" s="758"/>
      <c r="K18" s="758"/>
    </row>
    <row r="19" spans="1:13" s="292" customFormat="1" ht="7.5" hidden="1" customHeight="1" x14ac:dyDescent="0.25">
      <c r="B19" s="620"/>
      <c r="C19" s="621"/>
      <c r="D19" s="621"/>
      <c r="E19" s="621"/>
      <c r="F19" s="621"/>
      <c r="G19" s="621"/>
      <c r="H19" s="621"/>
      <c r="I19" s="621"/>
      <c r="J19" s="621"/>
      <c r="K19" s="621"/>
    </row>
    <row r="20" spans="1:13" s="292" customFormat="1" ht="12" hidden="1" customHeight="1" x14ac:dyDescent="0.25">
      <c r="A20" s="296"/>
      <c r="B20" s="620"/>
      <c r="C20" s="619"/>
      <c r="D20" s="619"/>
      <c r="E20" s="619"/>
      <c r="F20" s="619"/>
      <c r="G20" s="619"/>
      <c r="H20" s="619"/>
      <c r="I20" s="619"/>
      <c r="J20" s="619"/>
      <c r="K20" s="619"/>
    </row>
    <row r="21" spans="1:13" s="292" customFormat="1" ht="12" hidden="1" customHeight="1" x14ac:dyDescent="0.25">
      <c r="A21" s="295">
        <v>3.4</v>
      </c>
      <c r="B21" s="622" t="s">
        <v>118</v>
      </c>
      <c r="C21" s="622"/>
      <c r="D21" s="622"/>
      <c r="E21" s="622"/>
      <c r="F21" s="622"/>
      <c r="G21" s="622"/>
      <c r="H21" s="622"/>
      <c r="I21" s="622"/>
      <c r="J21" s="622"/>
      <c r="K21" s="622"/>
    </row>
    <row r="22" spans="1:13" s="292" customFormat="1" ht="12" hidden="1" customHeight="1" x14ac:dyDescent="0.25">
      <c r="B22" s="620"/>
      <c r="C22" s="619"/>
      <c r="D22" s="619"/>
      <c r="E22" s="619"/>
      <c r="F22" s="619"/>
      <c r="G22" s="619"/>
      <c r="H22" s="619"/>
      <c r="I22" s="619"/>
      <c r="J22" s="619"/>
      <c r="K22" s="619"/>
    </row>
    <row r="23" spans="1:13" s="292" customFormat="1" ht="12" hidden="1" customHeight="1" x14ac:dyDescent="0.25">
      <c r="B23" s="781" t="s">
        <v>117</v>
      </c>
      <c r="C23" s="781"/>
      <c r="D23" s="781"/>
      <c r="E23" s="781"/>
      <c r="F23" s="781"/>
      <c r="G23" s="781"/>
      <c r="H23" s="781"/>
      <c r="I23" s="781"/>
      <c r="J23" s="781"/>
      <c r="K23" s="781"/>
    </row>
    <row r="24" spans="1:13" s="292" customFormat="1" ht="12" hidden="1" customHeight="1" x14ac:dyDescent="0.25">
      <c r="B24" s="781"/>
      <c r="C24" s="781"/>
      <c r="D24" s="781"/>
      <c r="E24" s="781"/>
      <c r="F24" s="781"/>
      <c r="G24" s="781"/>
      <c r="H24" s="781"/>
      <c r="I24" s="781"/>
      <c r="J24" s="781"/>
      <c r="K24" s="781"/>
    </row>
    <row r="25" spans="1:13" s="292" customFormat="1" ht="12" hidden="1" customHeight="1" x14ac:dyDescent="0.25">
      <c r="B25" s="781"/>
      <c r="C25" s="781"/>
      <c r="D25" s="781"/>
      <c r="E25" s="781"/>
      <c r="F25" s="781"/>
      <c r="G25" s="781"/>
      <c r="H25" s="781"/>
      <c r="I25" s="781"/>
      <c r="J25" s="781"/>
      <c r="K25" s="781"/>
    </row>
    <row r="26" spans="1:13" s="292" customFormat="1" ht="12" hidden="1" customHeight="1" x14ac:dyDescent="0.25">
      <c r="B26" s="781"/>
      <c r="C26" s="781"/>
      <c r="D26" s="781"/>
      <c r="E26" s="781"/>
      <c r="F26" s="781"/>
      <c r="G26" s="781"/>
      <c r="H26" s="781"/>
      <c r="I26" s="781"/>
      <c r="J26" s="781"/>
      <c r="K26" s="781"/>
    </row>
    <row r="27" spans="1:13" s="292" customFormat="1" ht="12" hidden="1" customHeight="1" x14ac:dyDescent="0.25">
      <c r="B27" s="623"/>
      <c r="C27" s="623"/>
      <c r="D27" s="623"/>
      <c r="E27" s="623"/>
      <c r="F27" s="623"/>
      <c r="G27" s="623"/>
      <c r="H27" s="623"/>
      <c r="I27" s="623"/>
      <c r="J27" s="623"/>
      <c r="K27" s="623"/>
    </row>
    <row r="28" spans="1:13" s="292" customFormat="1" x14ac:dyDescent="0.25">
      <c r="B28" s="294"/>
      <c r="C28" s="293"/>
      <c r="D28" s="293"/>
      <c r="E28" s="293"/>
      <c r="G28" s="293"/>
      <c r="H28" s="293"/>
      <c r="I28" s="293"/>
      <c r="J28" s="293"/>
      <c r="K28" s="293"/>
    </row>
    <row r="29" spans="1:13" s="1" customFormat="1" x14ac:dyDescent="0.2">
      <c r="A29" s="291"/>
      <c r="B29" s="278"/>
      <c r="C29" s="278"/>
      <c r="D29" s="278"/>
      <c r="E29" s="278"/>
      <c r="H29" s="278"/>
      <c r="I29" s="42" t="str">
        <f>+SOCI!E6</f>
        <v>March 31,</v>
      </c>
      <c r="J29" s="6"/>
      <c r="K29" s="42" t="s">
        <v>21</v>
      </c>
      <c r="M29" s="289"/>
    </row>
    <row r="30" spans="1:13" s="1" customFormat="1" x14ac:dyDescent="0.25">
      <c r="A30" s="290"/>
      <c r="B30" s="278"/>
      <c r="C30" s="278"/>
      <c r="D30" s="278"/>
      <c r="E30" s="278"/>
      <c r="G30" s="278"/>
      <c r="H30" s="278"/>
      <c r="I30" s="40">
        <v>2022</v>
      </c>
      <c r="J30" s="278"/>
      <c r="K30" s="40">
        <v>2021</v>
      </c>
      <c r="M30" s="289"/>
    </row>
    <row r="31" spans="1:13" s="1" customFormat="1" x14ac:dyDescent="0.25">
      <c r="A31" s="290"/>
      <c r="B31" s="263"/>
      <c r="C31" s="263"/>
      <c r="D31" s="263"/>
      <c r="E31" s="263"/>
      <c r="F31" s="263"/>
      <c r="G31" s="263"/>
      <c r="H31" s="263"/>
      <c r="I31" s="6" t="s">
        <v>20</v>
      </c>
      <c r="J31" s="176"/>
      <c r="K31" s="6" t="s">
        <v>19</v>
      </c>
      <c r="M31" s="289"/>
    </row>
    <row r="32" spans="1:13" s="1" customFormat="1" x14ac:dyDescent="0.2">
      <c r="C32" s="263"/>
      <c r="D32" s="263"/>
      <c r="E32" s="263"/>
      <c r="F32" s="263"/>
      <c r="G32" s="277" t="s">
        <v>18</v>
      </c>
      <c r="H32" s="277"/>
      <c r="I32" s="722" t="s">
        <v>17</v>
      </c>
      <c r="J32" s="722"/>
      <c r="K32" s="722"/>
    </row>
    <row r="33" spans="1:14" s="1" customFormat="1" x14ac:dyDescent="0.25">
      <c r="A33" s="190">
        <v>4</v>
      </c>
      <c r="B33" s="279" t="s">
        <v>116</v>
      </c>
      <c r="C33" s="283"/>
      <c r="D33" s="263"/>
      <c r="E33" s="263"/>
      <c r="F33" s="263"/>
      <c r="G33" s="263"/>
      <c r="H33" s="263"/>
      <c r="I33" s="269"/>
      <c r="J33" s="178"/>
      <c r="K33" s="178"/>
    </row>
    <row r="34" spans="1:14" s="289" customFormat="1" x14ac:dyDescent="0.25">
      <c r="I34" s="269"/>
      <c r="J34" s="178"/>
      <c r="K34" s="178"/>
    </row>
    <row r="35" spans="1:14" s="1" customFormat="1" x14ac:dyDescent="0.25">
      <c r="B35" s="46" t="s">
        <v>115</v>
      </c>
      <c r="C35" s="283"/>
      <c r="D35" s="263"/>
      <c r="E35" s="263"/>
      <c r="F35" s="263"/>
      <c r="H35" s="287"/>
      <c r="I35" s="262">
        <f>TB!N11</f>
        <v>4</v>
      </c>
      <c r="J35" s="281"/>
      <c r="K35" s="262">
        <v>20</v>
      </c>
      <c r="L35" s="262"/>
    </row>
    <row r="36" spans="1:14" s="1" customFormat="1" x14ac:dyDescent="0.25">
      <c r="B36" s="288" t="s">
        <v>114</v>
      </c>
      <c r="C36" s="283"/>
      <c r="D36" s="263"/>
      <c r="E36" s="263"/>
      <c r="F36" s="263"/>
      <c r="G36" s="346">
        <f>$A$39</f>
        <v>4.0999999999999996</v>
      </c>
      <c r="H36" s="287"/>
      <c r="I36" s="262">
        <f>TB!N10</f>
        <v>15242659</v>
      </c>
      <c r="J36" s="281"/>
      <c r="K36" s="262">
        <v>3141801</v>
      </c>
    </row>
    <row r="37" spans="1:14" s="1" customFormat="1" ht="12.75" thickBot="1" x14ac:dyDescent="0.3">
      <c r="B37" s="283"/>
      <c r="C37" s="283"/>
      <c r="D37" s="263"/>
      <c r="E37" s="263"/>
      <c r="F37" s="263"/>
      <c r="G37" s="346">
        <f>$A$41</f>
        <v>4.1999999999999993</v>
      </c>
      <c r="H37" s="282"/>
      <c r="I37" s="285">
        <f>SUM(I35:I36)</f>
        <v>15242663</v>
      </c>
      <c r="J37" s="286"/>
      <c r="K37" s="285">
        <f>SUM(K35:K36)</f>
        <v>3141821</v>
      </c>
    </row>
    <row r="38" spans="1:14" s="1" customFormat="1" ht="12.75" thickTop="1" x14ac:dyDescent="0.25">
      <c r="B38" s="283"/>
      <c r="C38" s="283"/>
      <c r="D38" s="263"/>
      <c r="E38" s="263"/>
      <c r="F38" s="263"/>
      <c r="G38" s="282"/>
      <c r="H38" s="282"/>
      <c r="I38" s="280"/>
      <c r="J38" s="281"/>
      <c r="K38" s="280"/>
    </row>
    <row r="39" spans="1:14" s="289" customFormat="1" x14ac:dyDescent="0.25">
      <c r="A39" s="284">
        <f>A33+0.1</f>
        <v>4.0999999999999996</v>
      </c>
      <c r="B39" s="514" t="s">
        <v>691</v>
      </c>
      <c r="C39" s="514"/>
      <c r="D39" s="514"/>
      <c r="E39" s="514"/>
      <c r="F39" s="514"/>
      <c r="G39" s="514"/>
      <c r="H39" s="514"/>
      <c r="I39" s="514"/>
      <c r="J39" s="514"/>
      <c r="K39" s="514"/>
    </row>
    <row r="40" spans="1:14" s="289" customFormat="1" x14ac:dyDescent="0.25">
      <c r="G40" s="478"/>
      <c r="H40" s="478"/>
      <c r="I40" s="280"/>
      <c r="J40" s="475"/>
      <c r="K40" s="280"/>
    </row>
    <row r="41" spans="1:14" s="1" customFormat="1" x14ac:dyDescent="0.25">
      <c r="A41" s="284">
        <f>A39+0.1</f>
        <v>4.1999999999999993</v>
      </c>
      <c r="B41" s="752" t="s">
        <v>894</v>
      </c>
      <c r="C41" s="752"/>
      <c r="D41" s="752"/>
      <c r="E41" s="752"/>
      <c r="F41" s="752"/>
      <c r="G41" s="752"/>
      <c r="H41" s="752"/>
      <c r="I41" s="752"/>
      <c r="J41" s="752"/>
      <c r="K41" s="752"/>
      <c r="L41" s="342">
        <f>I442</f>
        <v>5134</v>
      </c>
      <c r="N41" s="342">
        <f>K442</f>
        <v>2747</v>
      </c>
    </row>
    <row r="42" spans="1:14" s="1" customFormat="1" x14ac:dyDescent="0.25">
      <c r="B42" s="752"/>
      <c r="C42" s="752"/>
      <c r="D42" s="752"/>
      <c r="E42" s="752"/>
      <c r="F42" s="752"/>
      <c r="G42" s="752"/>
      <c r="H42" s="752"/>
      <c r="I42" s="752"/>
      <c r="J42" s="752"/>
      <c r="K42" s="752"/>
    </row>
    <row r="43" spans="1:14" s="289" customFormat="1" x14ac:dyDescent="0.25">
      <c r="B43" s="492"/>
      <c r="C43" s="492"/>
      <c r="D43" s="492"/>
      <c r="E43" s="492"/>
      <c r="F43" s="492"/>
      <c r="G43" s="492"/>
      <c r="H43" s="492"/>
      <c r="I43" s="492"/>
      <c r="J43" s="492"/>
      <c r="K43" s="492"/>
    </row>
    <row r="44" spans="1:14" s="1" customFormat="1" x14ac:dyDescent="0.2">
      <c r="C44" s="46"/>
      <c r="D44" s="46"/>
      <c r="E44" s="46"/>
      <c r="F44" s="46"/>
      <c r="G44" s="46"/>
      <c r="H44" s="46"/>
      <c r="I44" s="42" t="str">
        <f>+I29</f>
        <v>March 31,</v>
      </c>
      <c r="J44" s="6"/>
      <c r="K44" s="42" t="s">
        <v>21</v>
      </c>
    </row>
    <row r="45" spans="1:14" s="1" customFormat="1" x14ac:dyDescent="0.2">
      <c r="C45" s="46"/>
      <c r="D45" s="46"/>
      <c r="E45" s="46"/>
      <c r="F45" s="46"/>
      <c r="G45" s="278"/>
      <c r="I45" s="40">
        <v>2022</v>
      </c>
      <c r="J45" s="270"/>
      <c r="K45" s="40">
        <v>2021</v>
      </c>
    </row>
    <row r="46" spans="1:14" s="555" customFormat="1" x14ac:dyDescent="0.25">
      <c r="C46" s="223"/>
      <c r="D46" s="223"/>
      <c r="E46" s="223"/>
      <c r="F46" s="223"/>
      <c r="G46" s="278"/>
      <c r="I46" s="277" t="s">
        <v>311</v>
      </c>
      <c r="J46" s="221"/>
      <c r="K46" s="277" t="s">
        <v>19</v>
      </c>
    </row>
    <row r="47" spans="1:14" s="1" customFormat="1" x14ac:dyDescent="0.2">
      <c r="A47" s="241">
        <v>5</v>
      </c>
      <c r="B47" s="279" t="s">
        <v>113</v>
      </c>
      <c r="D47" s="46"/>
      <c r="E47" s="46"/>
      <c r="F47" s="46"/>
      <c r="G47" s="277" t="s">
        <v>18</v>
      </c>
      <c r="I47" s="722" t="s">
        <v>111</v>
      </c>
      <c r="J47" s="722"/>
      <c r="K47" s="722"/>
    </row>
    <row r="48" spans="1:14" s="289" customFormat="1" ht="9" customHeight="1" x14ac:dyDescent="0.2">
      <c r="A48" s="1"/>
      <c r="B48" s="1"/>
      <c r="D48" s="223"/>
      <c r="E48" s="223"/>
      <c r="F48" s="223"/>
      <c r="G48" s="462"/>
      <c r="I48" s="462"/>
      <c r="J48" s="462"/>
      <c r="K48" s="462"/>
    </row>
    <row r="49" spans="1:13" s="289" customFormat="1" x14ac:dyDescent="0.2">
      <c r="A49" s="1"/>
      <c r="B49" s="20" t="s">
        <v>112</v>
      </c>
      <c r="D49" s="223"/>
      <c r="E49" s="223"/>
      <c r="F49" s="223"/>
      <c r="G49" s="462"/>
      <c r="I49" s="462"/>
      <c r="J49" s="462"/>
      <c r="K49" s="462"/>
    </row>
    <row r="50" spans="1:13" s="289" customFormat="1" ht="9" customHeight="1" x14ac:dyDescent="0.2">
      <c r="D50" s="223"/>
      <c r="E50" s="223"/>
      <c r="F50" s="223"/>
      <c r="G50" s="462"/>
      <c r="I50" s="462"/>
      <c r="J50" s="462"/>
      <c r="K50" s="462"/>
    </row>
    <row r="51" spans="1:13" s="1" customFormat="1" x14ac:dyDescent="0.2">
      <c r="B51" s="212" t="s">
        <v>325</v>
      </c>
      <c r="D51" s="46"/>
      <c r="E51" s="46"/>
      <c r="F51" s="46"/>
      <c r="G51" s="46"/>
      <c r="I51" s="46"/>
      <c r="J51" s="271"/>
      <c r="K51" s="46"/>
    </row>
    <row r="52" spans="1:13" s="1" customFormat="1" ht="12.75" thickBot="1" x14ac:dyDescent="0.3">
      <c r="B52" s="31" t="s">
        <v>110</v>
      </c>
      <c r="D52" s="46"/>
      <c r="E52" s="46"/>
      <c r="F52" s="46"/>
      <c r="G52" s="346">
        <f>$A$218</f>
        <v>5.0999999999999996</v>
      </c>
      <c r="I52" s="23">
        <f>'5.1'!I41</f>
        <v>0</v>
      </c>
      <c r="J52" s="276"/>
      <c r="K52" s="23">
        <v>0</v>
      </c>
      <c r="M52" s="342" t="e">
        <f>#REF!</f>
        <v>#REF!</v>
      </c>
    </row>
    <row r="53" spans="1:13" s="1" customFormat="1" ht="12.75" thickTop="1" x14ac:dyDescent="0.25"/>
    <row r="54" spans="1:13" s="1" customFormat="1" ht="12" hidden="1" customHeight="1" x14ac:dyDescent="0.25"/>
    <row r="55" spans="1:13" s="1" customFormat="1" ht="15" hidden="1" customHeight="1" x14ac:dyDescent="0.25">
      <c r="A55" s="190">
        <v>5</v>
      </c>
      <c r="B55" s="192"/>
      <c r="C55" s="192"/>
      <c r="D55" s="192"/>
      <c r="E55" s="192"/>
      <c r="F55" s="192"/>
      <c r="G55" s="192"/>
      <c r="H55" s="192"/>
      <c r="I55" s="192"/>
      <c r="J55" s="192"/>
      <c r="K55" s="192"/>
    </row>
    <row r="56" spans="1:13" s="1" customFormat="1" ht="12" hidden="1" customHeight="1" x14ac:dyDescent="0.25">
      <c r="A56" s="275"/>
      <c r="B56" s="192"/>
      <c r="C56" s="192"/>
      <c r="D56" s="192"/>
      <c r="E56" s="192"/>
      <c r="F56" s="192"/>
      <c r="G56" s="192"/>
      <c r="H56" s="192"/>
      <c r="I56" s="192"/>
      <c r="J56" s="192"/>
      <c r="K56" s="192"/>
    </row>
    <row r="57" spans="1:13" s="1" customFormat="1" ht="15" hidden="1" customHeight="1" x14ac:dyDescent="0.25">
      <c r="A57" s="275"/>
      <c r="B57" s="260"/>
      <c r="C57" s="260"/>
      <c r="D57" s="260"/>
      <c r="E57" s="260"/>
      <c r="F57" s="260"/>
      <c r="G57" s="260"/>
      <c r="H57" s="260"/>
      <c r="I57" s="260"/>
      <c r="J57" s="260"/>
      <c r="K57" s="260"/>
    </row>
    <row r="58" spans="1:13" s="1" customFormat="1" ht="15" hidden="1" customHeight="1" x14ac:dyDescent="0.25">
      <c r="A58" s="275"/>
      <c r="B58" s="748"/>
      <c r="C58" s="748"/>
      <c r="D58" s="748"/>
      <c r="E58" s="748"/>
      <c r="F58" s="748"/>
      <c r="G58" s="748"/>
      <c r="H58" s="748"/>
      <c r="I58" s="748"/>
      <c r="J58" s="748"/>
      <c r="K58" s="748"/>
    </row>
    <row r="59" spans="1:13" s="1" customFormat="1" ht="15" hidden="1" customHeight="1" x14ac:dyDescent="0.25">
      <c r="A59" s="275"/>
      <c r="B59" s="748"/>
      <c r="C59" s="748"/>
      <c r="D59" s="748"/>
      <c r="E59" s="748"/>
      <c r="F59" s="748"/>
      <c r="G59" s="748"/>
      <c r="H59" s="748"/>
      <c r="I59" s="748"/>
      <c r="J59" s="748"/>
      <c r="K59" s="748"/>
    </row>
    <row r="60" spans="1:13" s="1" customFormat="1" ht="12" hidden="1" customHeight="1" x14ac:dyDescent="0.25">
      <c r="A60" s="275"/>
      <c r="B60" s="748"/>
      <c r="C60" s="748"/>
      <c r="D60" s="748"/>
      <c r="E60" s="748"/>
      <c r="F60" s="748"/>
      <c r="G60" s="748"/>
      <c r="H60" s="748"/>
      <c r="I60" s="748"/>
      <c r="J60" s="748"/>
      <c r="K60" s="748"/>
    </row>
    <row r="61" spans="1:13" s="1" customFormat="1" ht="15" hidden="1" customHeight="1" x14ac:dyDescent="0.25">
      <c r="B61" s="748"/>
      <c r="C61" s="748"/>
      <c r="D61" s="748"/>
      <c r="E61" s="748"/>
      <c r="F61" s="748"/>
      <c r="G61" s="748"/>
      <c r="H61" s="748"/>
      <c r="I61" s="748"/>
      <c r="J61" s="748"/>
      <c r="K61" s="748"/>
    </row>
    <row r="62" spans="1:13" s="1" customFormat="1" ht="15" hidden="1" customHeight="1" x14ac:dyDescent="0.25">
      <c r="B62" s="748"/>
      <c r="C62" s="748"/>
      <c r="D62" s="748"/>
      <c r="E62" s="748"/>
      <c r="F62" s="748"/>
      <c r="G62" s="748"/>
      <c r="H62" s="748"/>
      <c r="I62" s="748"/>
      <c r="J62" s="748"/>
      <c r="K62" s="748"/>
    </row>
    <row r="63" spans="1:13" s="1" customFormat="1" ht="15" hidden="1" customHeight="1" x14ac:dyDescent="0.25">
      <c r="B63" s="748"/>
      <c r="C63" s="748"/>
      <c r="D63" s="748"/>
      <c r="E63" s="748"/>
      <c r="F63" s="748"/>
      <c r="G63" s="748"/>
      <c r="H63" s="748"/>
      <c r="I63" s="748"/>
      <c r="J63" s="748"/>
      <c r="K63" s="748"/>
    </row>
    <row r="64" spans="1:13" s="1" customFormat="1" ht="15" hidden="1" customHeight="1" x14ac:dyDescent="0.25">
      <c r="B64" s="748"/>
      <c r="C64" s="748"/>
      <c r="D64" s="748"/>
      <c r="E64" s="748"/>
      <c r="F64" s="748"/>
      <c r="G64" s="748"/>
      <c r="H64" s="748"/>
      <c r="I64" s="748"/>
      <c r="J64" s="748"/>
      <c r="K64" s="748"/>
    </row>
    <row r="65" spans="2:11" s="1" customFormat="1" ht="15" hidden="1" customHeight="1" x14ac:dyDescent="0.25">
      <c r="B65" s="748"/>
      <c r="C65" s="748"/>
      <c r="D65" s="748"/>
      <c r="E65" s="748"/>
      <c r="F65" s="748"/>
      <c r="G65" s="748"/>
      <c r="H65" s="748"/>
      <c r="I65" s="748"/>
      <c r="J65" s="748"/>
      <c r="K65" s="748"/>
    </row>
    <row r="66" spans="2:11" s="1" customFormat="1" hidden="1" x14ac:dyDescent="0.25">
      <c r="B66" s="748"/>
      <c r="C66" s="748"/>
      <c r="D66" s="748"/>
      <c r="E66" s="748"/>
      <c r="F66" s="748"/>
      <c r="G66" s="748"/>
      <c r="H66" s="748"/>
      <c r="I66" s="748"/>
      <c r="J66" s="748"/>
      <c r="K66" s="748"/>
    </row>
    <row r="67" spans="2:11" s="1" customFormat="1" ht="8.25" hidden="1" customHeight="1" x14ac:dyDescent="0.25">
      <c r="B67" s="748"/>
      <c r="C67" s="748"/>
      <c r="D67" s="748"/>
      <c r="E67" s="748"/>
      <c r="F67" s="748"/>
      <c r="G67" s="748"/>
      <c r="H67" s="748"/>
      <c r="I67" s="748"/>
      <c r="J67" s="748"/>
      <c r="K67" s="748"/>
    </row>
    <row r="68" spans="2:11" s="1" customFormat="1" hidden="1" x14ac:dyDescent="0.25"/>
    <row r="69" spans="2:11" s="1" customFormat="1" hidden="1" x14ac:dyDescent="0.25"/>
    <row r="70" spans="2:11" s="1" customFormat="1" hidden="1" x14ac:dyDescent="0.25"/>
    <row r="71" spans="2:11" s="1" customFormat="1" hidden="1" x14ac:dyDescent="0.25"/>
    <row r="72" spans="2:11" s="1" customFormat="1" hidden="1" x14ac:dyDescent="0.25"/>
    <row r="73" spans="2:11" s="1" customFormat="1" hidden="1" x14ac:dyDescent="0.25"/>
    <row r="74" spans="2:11" s="1" customFormat="1" hidden="1" x14ac:dyDescent="0.25"/>
    <row r="75" spans="2:11" s="1" customFormat="1" hidden="1" x14ac:dyDescent="0.25"/>
    <row r="76" spans="2:11" s="1" customFormat="1" hidden="1" x14ac:dyDescent="0.25"/>
    <row r="77" spans="2:11" s="1" customFormat="1" hidden="1" x14ac:dyDescent="0.25"/>
    <row r="78" spans="2:11" s="1" customFormat="1" hidden="1" x14ac:dyDescent="0.25"/>
    <row r="79" spans="2:11" s="1" customFormat="1" hidden="1" x14ac:dyDescent="0.25"/>
    <row r="80" spans="2:11" s="1" customFormat="1" hidden="1" x14ac:dyDescent="0.25"/>
    <row r="81" s="1" customFormat="1" hidden="1" x14ac:dyDescent="0.25"/>
    <row r="82" s="1" customFormat="1" hidden="1" x14ac:dyDescent="0.25"/>
    <row r="83" s="1" customFormat="1" hidden="1" x14ac:dyDescent="0.25"/>
    <row r="84" s="1" customFormat="1" hidden="1" x14ac:dyDescent="0.25"/>
    <row r="85" s="1" customFormat="1" hidden="1" x14ac:dyDescent="0.25"/>
    <row r="86" s="1" customFormat="1" hidden="1" x14ac:dyDescent="0.25"/>
    <row r="87" s="1" customFormat="1" hidden="1" x14ac:dyDescent="0.25"/>
    <row r="88" s="1" customFormat="1" hidden="1" x14ac:dyDescent="0.25"/>
    <row r="89" s="1" customFormat="1" hidden="1" x14ac:dyDescent="0.25"/>
    <row r="90" s="1" customFormat="1" hidden="1" x14ac:dyDescent="0.25"/>
    <row r="91" s="1" customFormat="1" hidden="1" x14ac:dyDescent="0.25"/>
    <row r="92" s="1" customFormat="1" hidden="1" x14ac:dyDescent="0.25"/>
    <row r="93" s="1" customFormat="1" hidden="1" x14ac:dyDescent="0.25"/>
    <row r="94" s="1" customFormat="1" hidden="1" x14ac:dyDescent="0.25"/>
    <row r="95" s="1" customFormat="1" hidden="1" x14ac:dyDescent="0.25"/>
    <row r="96" s="1" customFormat="1" hidden="1" x14ac:dyDescent="0.25"/>
    <row r="97" s="1" customFormat="1" hidden="1" x14ac:dyDescent="0.25"/>
    <row r="98" s="1" customFormat="1" hidden="1" x14ac:dyDescent="0.25"/>
    <row r="99" s="1" customFormat="1" hidden="1" x14ac:dyDescent="0.25"/>
    <row r="100" s="1" customFormat="1" hidden="1" x14ac:dyDescent="0.25"/>
    <row r="101" s="1" customFormat="1" hidden="1" x14ac:dyDescent="0.25"/>
    <row r="102" s="1" customFormat="1" hidden="1" x14ac:dyDescent="0.25"/>
    <row r="103" s="1" customFormat="1" hidden="1" x14ac:dyDescent="0.25"/>
    <row r="104" s="1" customFormat="1" hidden="1" x14ac:dyDescent="0.25"/>
    <row r="105" s="1" customFormat="1" hidden="1" x14ac:dyDescent="0.25"/>
    <row r="106" s="1" customFormat="1" hidden="1" x14ac:dyDescent="0.25"/>
    <row r="107" s="1" customFormat="1" hidden="1" x14ac:dyDescent="0.25"/>
    <row r="108" s="1" customFormat="1" hidden="1" x14ac:dyDescent="0.25"/>
    <row r="109" s="1" customFormat="1" hidden="1" x14ac:dyDescent="0.25"/>
    <row r="110" s="1" customFormat="1" hidden="1" x14ac:dyDescent="0.25"/>
    <row r="111" s="1" customFormat="1" hidden="1" x14ac:dyDescent="0.25"/>
    <row r="112" s="1" customFormat="1" hidden="1" x14ac:dyDescent="0.25"/>
    <row r="113" s="1" customFormat="1" hidden="1" x14ac:dyDescent="0.25"/>
    <row r="114" s="1" customFormat="1" hidden="1" x14ac:dyDescent="0.25"/>
    <row r="115" s="1" customFormat="1" hidden="1" x14ac:dyDescent="0.25"/>
    <row r="116" s="1" customFormat="1" hidden="1" x14ac:dyDescent="0.25"/>
    <row r="117" s="1" customFormat="1" hidden="1" x14ac:dyDescent="0.25"/>
    <row r="118" s="1" customFormat="1" hidden="1" x14ac:dyDescent="0.25"/>
    <row r="119" s="1" customFormat="1" hidden="1" x14ac:dyDescent="0.25"/>
    <row r="120" s="1" customFormat="1" hidden="1" x14ac:dyDescent="0.25"/>
    <row r="121" s="1" customFormat="1" hidden="1" x14ac:dyDescent="0.25"/>
    <row r="122" s="1" customFormat="1" hidden="1" x14ac:dyDescent="0.25"/>
    <row r="123" s="1" customFormat="1" hidden="1" x14ac:dyDescent="0.25"/>
    <row r="124" s="1" customFormat="1" hidden="1" x14ac:dyDescent="0.25"/>
    <row r="125" s="1" customFormat="1" hidden="1" x14ac:dyDescent="0.25"/>
    <row r="126" s="1" customFormat="1" hidden="1" x14ac:dyDescent="0.25"/>
    <row r="127" s="1" customFormat="1" hidden="1" x14ac:dyDescent="0.25"/>
    <row r="128" s="1" customFormat="1" hidden="1" x14ac:dyDescent="0.25"/>
    <row r="129" s="1" customFormat="1" hidden="1" x14ac:dyDescent="0.25"/>
    <row r="130" s="1" customFormat="1" hidden="1" x14ac:dyDescent="0.25"/>
    <row r="131" s="1" customFormat="1" hidden="1" x14ac:dyDescent="0.25"/>
    <row r="132" s="1" customFormat="1" hidden="1" x14ac:dyDescent="0.25"/>
    <row r="133" s="1" customFormat="1" hidden="1" x14ac:dyDescent="0.25"/>
    <row r="134" s="1" customFormat="1" hidden="1" x14ac:dyDescent="0.25"/>
    <row r="135" s="1" customFormat="1" hidden="1" x14ac:dyDescent="0.25"/>
    <row r="136" s="1" customFormat="1" hidden="1" x14ac:dyDescent="0.25"/>
    <row r="137" s="1" customFormat="1" hidden="1" x14ac:dyDescent="0.25"/>
    <row r="138" s="1" customFormat="1" hidden="1" x14ac:dyDescent="0.25"/>
    <row r="139" s="1" customFormat="1" hidden="1" x14ac:dyDescent="0.25"/>
    <row r="140" s="1" customFormat="1" hidden="1" x14ac:dyDescent="0.25"/>
    <row r="141" s="1" customFormat="1" hidden="1" x14ac:dyDescent="0.25"/>
    <row r="142" s="1" customFormat="1" hidden="1" x14ac:dyDescent="0.25"/>
    <row r="143" s="1" customFormat="1" hidden="1" x14ac:dyDescent="0.25"/>
    <row r="144" s="1" customFormat="1" hidden="1" x14ac:dyDescent="0.25"/>
    <row r="145" s="1" customFormat="1" hidden="1" x14ac:dyDescent="0.25"/>
    <row r="146" s="1" customFormat="1" hidden="1" x14ac:dyDescent="0.25"/>
    <row r="147" s="1" customFormat="1" hidden="1" x14ac:dyDescent="0.25"/>
    <row r="148" s="1" customFormat="1" hidden="1" x14ac:dyDescent="0.25"/>
    <row r="149" s="1" customFormat="1" hidden="1" x14ac:dyDescent="0.25"/>
    <row r="150" s="1" customFormat="1" hidden="1" x14ac:dyDescent="0.25"/>
    <row r="151" s="1" customFormat="1" hidden="1" x14ac:dyDescent="0.25"/>
    <row r="152" s="1" customFormat="1" hidden="1" x14ac:dyDescent="0.25"/>
    <row r="153" s="1" customFormat="1" hidden="1" x14ac:dyDescent="0.25"/>
    <row r="154" s="1" customFormat="1" hidden="1" x14ac:dyDescent="0.25"/>
    <row r="155" s="1" customFormat="1" hidden="1" x14ac:dyDescent="0.25"/>
    <row r="156" s="1" customFormat="1" hidden="1" x14ac:dyDescent="0.25"/>
    <row r="157" s="1" customFormat="1" hidden="1" x14ac:dyDescent="0.25"/>
    <row r="158" s="1" customFormat="1" hidden="1" x14ac:dyDescent="0.25"/>
    <row r="159" s="1" customFormat="1" hidden="1" x14ac:dyDescent="0.25"/>
    <row r="160" s="1" customFormat="1" hidden="1" x14ac:dyDescent="0.25"/>
    <row r="161" s="1" customFormat="1" hidden="1" x14ac:dyDescent="0.25"/>
    <row r="162" s="1" customFormat="1" hidden="1" x14ac:dyDescent="0.25"/>
    <row r="163" s="1" customFormat="1" hidden="1" x14ac:dyDescent="0.25"/>
    <row r="164" s="1" customFormat="1" hidden="1" x14ac:dyDescent="0.25"/>
    <row r="165" s="1" customFormat="1" hidden="1" x14ac:dyDescent="0.25"/>
    <row r="166" s="1" customFormat="1" hidden="1" x14ac:dyDescent="0.25"/>
    <row r="167" s="1" customFormat="1" hidden="1" x14ac:dyDescent="0.25"/>
    <row r="168" s="1" customFormat="1" hidden="1" x14ac:dyDescent="0.25"/>
    <row r="169" s="1" customFormat="1" hidden="1" x14ac:dyDescent="0.25"/>
    <row r="170" s="1" customFormat="1" hidden="1" x14ac:dyDescent="0.25"/>
    <row r="171" s="1" customFormat="1" hidden="1" x14ac:dyDescent="0.25"/>
    <row r="172" s="1" customFormat="1" hidden="1" x14ac:dyDescent="0.25"/>
    <row r="173" s="1" customFormat="1" hidden="1" x14ac:dyDescent="0.25"/>
    <row r="174" s="1" customFormat="1" hidden="1" x14ac:dyDescent="0.25"/>
    <row r="175" s="1" customFormat="1" hidden="1" x14ac:dyDescent="0.25"/>
    <row r="176" s="1" customFormat="1" hidden="1" x14ac:dyDescent="0.25"/>
    <row r="177" s="1" customFormat="1" hidden="1" x14ac:dyDescent="0.25"/>
    <row r="178" s="1" customFormat="1" hidden="1" x14ac:dyDescent="0.25"/>
    <row r="179" s="1" customFormat="1" hidden="1" x14ac:dyDescent="0.25"/>
    <row r="180" s="1" customFormat="1" hidden="1" x14ac:dyDescent="0.25"/>
    <row r="181" s="1" customFormat="1" hidden="1" x14ac:dyDescent="0.25"/>
    <row r="182" s="1" customFormat="1" hidden="1" x14ac:dyDescent="0.25"/>
    <row r="183" s="1" customFormat="1" hidden="1" x14ac:dyDescent="0.25"/>
    <row r="184" s="1" customFormat="1" hidden="1" x14ac:dyDescent="0.25"/>
    <row r="185" s="1" customFormat="1" hidden="1" x14ac:dyDescent="0.25"/>
    <row r="186" s="1" customFormat="1" hidden="1" x14ac:dyDescent="0.25"/>
    <row r="187" s="1" customFormat="1" hidden="1" x14ac:dyDescent="0.25"/>
    <row r="188" s="1" customFormat="1" hidden="1" x14ac:dyDescent="0.25"/>
    <row r="189" s="1" customFormat="1" hidden="1" x14ac:dyDescent="0.25"/>
    <row r="190" s="1" customFormat="1" hidden="1" x14ac:dyDescent="0.25"/>
    <row r="191" s="1" customFormat="1" hidden="1" x14ac:dyDescent="0.25"/>
    <row r="192" s="1" customFormat="1" hidden="1" x14ac:dyDescent="0.25"/>
    <row r="193" s="1" customFormat="1" hidden="1" x14ac:dyDescent="0.25"/>
    <row r="194" s="1" customFormat="1" hidden="1" x14ac:dyDescent="0.25"/>
    <row r="195" s="1" customFormat="1" hidden="1" x14ac:dyDescent="0.25"/>
    <row r="196" s="1" customFormat="1" hidden="1" x14ac:dyDescent="0.25"/>
    <row r="197" s="1" customFormat="1" hidden="1" x14ac:dyDescent="0.25"/>
    <row r="198" s="1" customFormat="1" hidden="1" x14ac:dyDescent="0.25"/>
    <row r="199" s="1" customFormat="1" hidden="1" x14ac:dyDescent="0.25"/>
    <row r="200" s="1" customFormat="1" hidden="1" x14ac:dyDescent="0.25"/>
    <row r="201" s="1" customFormat="1" hidden="1" x14ac:dyDescent="0.25"/>
    <row r="202" s="1" customFormat="1" hidden="1" x14ac:dyDescent="0.25"/>
    <row r="203" s="1" customFormat="1" hidden="1" x14ac:dyDescent="0.25"/>
    <row r="204" s="1" customFormat="1" hidden="1" x14ac:dyDescent="0.25"/>
    <row r="205" s="1" customFormat="1" hidden="1" x14ac:dyDescent="0.25"/>
    <row r="206" s="1" customFormat="1" hidden="1" x14ac:dyDescent="0.25"/>
    <row r="207" s="1" customFormat="1" hidden="1" x14ac:dyDescent="0.25"/>
    <row r="208" s="1" customFormat="1" hidden="1" x14ac:dyDescent="0.25"/>
    <row r="209" spans="1:11" s="1" customFormat="1" hidden="1" x14ac:dyDescent="0.25"/>
    <row r="210" spans="1:11" s="1" customFormat="1" hidden="1" x14ac:dyDescent="0.25"/>
    <row r="211" spans="1:11" s="1" customFormat="1" hidden="1" x14ac:dyDescent="0.25"/>
    <row r="212" spans="1:11" s="1" customFormat="1" hidden="1" x14ac:dyDescent="0.25"/>
    <row r="213" spans="1:11" s="1" customFormat="1" hidden="1" x14ac:dyDescent="0.25"/>
    <row r="214" spans="1:11" s="1" customFormat="1" hidden="1" x14ac:dyDescent="0.25"/>
    <row r="215" spans="1:11" s="1" customFormat="1" hidden="1" x14ac:dyDescent="0.25"/>
    <row r="216" spans="1:11" s="1" customFormat="1" hidden="1" x14ac:dyDescent="0.25"/>
    <row r="217" spans="1:11" s="1" customFormat="1" hidden="1" x14ac:dyDescent="0.25"/>
    <row r="218" spans="1:11" s="1" customFormat="1" x14ac:dyDescent="0.25">
      <c r="A218" s="274">
        <f>A47+0.1</f>
        <v>5.0999999999999996</v>
      </c>
      <c r="B218" s="273" t="s">
        <v>109</v>
      </c>
      <c r="D218" s="272"/>
      <c r="E218" s="272"/>
      <c r="F218" s="47"/>
      <c r="G218" s="47"/>
      <c r="H218" s="47"/>
      <c r="I218" s="47"/>
      <c r="J218" s="47"/>
      <c r="K218" s="47"/>
    </row>
    <row r="219" spans="1:11" s="1" customFormat="1" ht="9" customHeight="1" x14ac:dyDescent="0.25"/>
    <row r="220" spans="1:11" s="1" customFormat="1" x14ac:dyDescent="0.25">
      <c r="C220" s="555"/>
      <c r="D220" s="555"/>
      <c r="E220" s="555"/>
      <c r="F220" s="555"/>
      <c r="G220" s="555"/>
      <c r="H220" s="555"/>
      <c r="I220" s="555"/>
      <c r="J220" s="555"/>
      <c r="K220" s="555"/>
    </row>
    <row r="238" s="235" customFormat="1" x14ac:dyDescent="0.2"/>
    <row r="239" s="235" customFormat="1" x14ac:dyDescent="0.2"/>
    <row r="240" s="235" customFormat="1" x14ac:dyDescent="0.2"/>
    <row r="241" s="235" customFormat="1" x14ac:dyDescent="0.2"/>
    <row r="242" s="235" customFormat="1" x14ac:dyDescent="0.2"/>
    <row r="243" s="235" customFormat="1" x14ac:dyDescent="0.2"/>
    <row r="244" s="235" customFormat="1" x14ac:dyDescent="0.2"/>
    <row r="245" s="235" customFormat="1" x14ac:dyDescent="0.2"/>
    <row r="246" s="235" customFormat="1" x14ac:dyDescent="0.2"/>
    <row r="247" s="235" customFormat="1" x14ac:dyDescent="0.2"/>
    <row r="248" s="235" customFormat="1" x14ac:dyDescent="0.2"/>
    <row r="249" s="235" customFormat="1" x14ac:dyDescent="0.2"/>
    <row r="250" s="235" customFormat="1" x14ac:dyDescent="0.2"/>
    <row r="251" s="235" customFormat="1" x14ac:dyDescent="0.2"/>
    <row r="252" s="235" customFormat="1" x14ac:dyDescent="0.2"/>
    <row r="253" s="235" customFormat="1" x14ac:dyDescent="0.2"/>
    <row r="254" s="235" customFormat="1" x14ac:dyDescent="0.2"/>
    <row r="255" s="235" customFormat="1" x14ac:dyDescent="0.2"/>
    <row r="256" s="235" customFormat="1" x14ac:dyDescent="0.2"/>
    <row r="257" spans="1:11" s="235" customFormat="1" x14ac:dyDescent="0.2"/>
    <row r="258" spans="1:11" s="235" customFormat="1" x14ac:dyDescent="0.2"/>
    <row r="259" spans="1:11" s="235" customFormat="1" x14ac:dyDescent="0.2"/>
    <row r="260" spans="1:11" s="235" customFormat="1" x14ac:dyDescent="0.2"/>
    <row r="261" spans="1:11" s="235" customFormat="1" x14ac:dyDescent="0.2"/>
    <row r="262" spans="1:11" s="235" customFormat="1" x14ac:dyDescent="0.2"/>
    <row r="263" spans="1:11" s="235" customFormat="1" x14ac:dyDescent="0.2"/>
    <row r="264" spans="1:11" s="1" customFormat="1" x14ac:dyDescent="0.2">
      <c r="I264" s="42" t="s">
        <v>491</v>
      </c>
      <c r="J264" s="277"/>
      <c r="K264" s="42" t="s">
        <v>21</v>
      </c>
    </row>
    <row r="265" spans="1:11" s="1" customFormat="1" x14ac:dyDescent="0.2">
      <c r="I265" s="40">
        <v>2022</v>
      </c>
      <c r="J265" s="270"/>
      <c r="K265" s="40">
        <v>2021</v>
      </c>
    </row>
    <row r="266" spans="1:11" s="555" customFormat="1" x14ac:dyDescent="0.25">
      <c r="I266" s="277" t="s">
        <v>20</v>
      </c>
      <c r="J266" s="221"/>
      <c r="K266" s="277" t="s">
        <v>19</v>
      </c>
    </row>
    <row r="267" spans="1:11" s="1" customFormat="1" x14ac:dyDescent="0.2">
      <c r="C267" s="555"/>
      <c r="D267" s="555"/>
      <c r="E267" s="555"/>
      <c r="F267" s="555"/>
      <c r="G267" s="175" t="s">
        <v>18</v>
      </c>
      <c r="H267" s="175"/>
      <c r="I267" s="722" t="s">
        <v>17</v>
      </c>
      <c r="J267" s="722"/>
      <c r="K267" s="722"/>
    </row>
    <row r="268" spans="1:11" s="1" customFormat="1" ht="15" hidden="1" customHeight="1" x14ac:dyDescent="0.25">
      <c r="A268" s="46"/>
      <c r="C268" s="555"/>
      <c r="D268" s="555"/>
      <c r="E268" s="555"/>
      <c r="F268" s="555"/>
      <c r="G268" s="555"/>
      <c r="H268" s="555"/>
      <c r="I268" s="269"/>
      <c r="J268" s="178"/>
      <c r="K268" s="178"/>
    </row>
    <row r="269" spans="1:11" s="1" customFormat="1" ht="15" hidden="1" customHeight="1" x14ac:dyDescent="0.25">
      <c r="A269" s="46"/>
      <c r="C269" s="555"/>
      <c r="D269" s="555"/>
      <c r="E269" s="555"/>
      <c r="F269" s="555"/>
      <c r="G269" s="261">
        <v>6.1</v>
      </c>
      <c r="H269" s="261"/>
      <c r="I269" s="269">
        <f>'[2]TB - 31 dec'!$M$16</f>
        <v>1653</v>
      </c>
      <c r="J269" s="178"/>
      <c r="K269" s="177">
        <v>702</v>
      </c>
    </row>
    <row r="270" spans="1:11" s="1" customFormat="1" ht="15" hidden="1" customHeight="1" thickBot="1" x14ac:dyDescent="0.3">
      <c r="C270" s="555"/>
      <c r="D270" s="555"/>
      <c r="E270" s="555"/>
      <c r="F270" s="555"/>
      <c r="G270" s="555"/>
      <c r="H270" s="555"/>
      <c r="I270" s="268">
        <f>SUM(I269:I269)</f>
        <v>1653</v>
      </c>
      <c r="J270" s="555"/>
      <c r="K270" s="267">
        <f>SUM(K269:K269)</f>
        <v>702</v>
      </c>
    </row>
    <row r="271" spans="1:11" s="1" customFormat="1" ht="15" hidden="1" customHeight="1" thickTop="1" x14ac:dyDescent="0.25">
      <c r="C271" s="555"/>
      <c r="D271" s="555"/>
      <c r="E271" s="555"/>
      <c r="F271" s="555"/>
      <c r="G271" s="555"/>
      <c r="H271" s="555"/>
      <c r="I271" s="555"/>
      <c r="J271" s="555"/>
      <c r="K271" s="555"/>
    </row>
    <row r="272" spans="1:11" s="1" customFormat="1" ht="15" hidden="1" customHeight="1" x14ac:dyDescent="0.25">
      <c r="B272" s="748" t="s">
        <v>108</v>
      </c>
      <c r="C272" s="748"/>
      <c r="D272" s="748"/>
      <c r="E272" s="748"/>
      <c r="F272" s="748"/>
      <c r="G272" s="748"/>
      <c r="H272" s="748"/>
      <c r="I272" s="748"/>
      <c r="J272" s="748"/>
      <c r="K272" s="748"/>
    </row>
    <row r="273" spans="1:11" s="1" customFormat="1" ht="15" hidden="1" customHeight="1" x14ac:dyDescent="0.25">
      <c r="B273" s="748"/>
      <c r="C273" s="748"/>
      <c r="D273" s="748"/>
      <c r="E273" s="748"/>
      <c r="F273" s="748"/>
      <c r="G273" s="748"/>
      <c r="H273" s="748"/>
      <c r="I273" s="748"/>
      <c r="J273" s="748"/>
      <c r="K273" s="748"/>
    </row>
    <row r="274" spans="1:11" s="1" customFormat="1" ht="15" hidden="1" customHeight="1" x14ac:dyDescent="0.25"/>
    <row r="275" spans="1:11" s="1" customFormat="1" ht="15" hidden="1" customHeight="1" x14ac:dyDescent="0.25">
      <c r="A275" s="259">
        <v>7</v>
      </c>
    </row>
    <row r="276" spans="1:11" s="1" customFormat="1" ht="15" hidden="1" customHeight="1" x14ac:dyDescent="0.25"/>
    <row r="277" spans="1:11" s="1" customFormat="1" ht="15" hidden="1" customHeight="1" x14ac:dyDescent="0.25">
      <c r="I277" s="266">
        <f>'[2]TB - 31 dec'!I19</f>
        <v>266</v>
      </c>
      <c r="J277" s="5"/>
      <c r="K277" s="5">
        <v>266</v>
      </c>
    </row>
    <row r="278" spans="1:11" s="1" customFormat="1" ht="15" hidden="1" customHeight="1" x14ac:dyDescent="0.25">
      <c r="I278" s="266">
        <f>'[2]TB - 31 dec'!I21</f>
        <v>14</v>
      </c>
      <c r="J278" s="5"/>
      <c r="K278" s="5">
        <v>0</v>
      </c>
    </row>
    <row r="279" spans="1:11" s="1" customFormat="1" ht="15" hidden="1" customHeight="1" x14ac:dyDescent="0.25">
      <c r="I279" s="266">
        <f>'[2]TB - 31 dec'!I23+'[2]TB - 31 dec'!I24</f>
        <v>249</v>
      </c>
      <c r="J279" s="5"/>
      <c r="K279" s="5">
        <v>0</v>
      </c>
    </row>
    <row r="280" spans="1:11" s="1" customFormat="1" ht="15" hidden="1" customHeight="1" thickBot="1" x14ac:dyDescent="0.3">
      <c r="I280" s="265">
        <f>SUM(I277:I279)</f>
        <v>529</v>
      </c>
      <c r="J280" s="46"/>
      <c r="K280" s="25">
        <f>SUM(K277:K279)</f>
        <v>266</v>
      </c>
    </row>
    <row r="281" spans="1:11" s="1" customFormat="1" ht="15" hidden="1" customHeight="1" thickTop="1" x14ac:dyDescent="0.25">
      <c r="I281" s="264"/>
      <c r="J281" s="46"/>
      <c r="K281" s="47"/>
    </row>
    <row r="282" spans="1:11" s="1" customFormat="1" ht="15" hidden="1" customHeight="1" x14ac:dyDescent="0.25">
      <c r="I282" s="264"/>
      <c r="K282" s="46"/>
    </row>
    <row r="283" spans="1:11" s="1" customFormat="1" x14ac:dyDescent="0.25">
      <c r="A283" s="259">
        <v>6</v>
      </c>
      <c r="B283" s="20" t="s">
        <v>366</v>
      </c>
      <c r="I283" s="264"/>
      <c r="K283" s="46"/>
    </row>
    <row r="284" spans="1:11" s="289" customFormat="1" x14ac:dyDescent="0.25">
      <c r="A284" s="344"/>
      <c r="B284" s="487" t="s">
        <v>367</v>
      </c>
      <c r="I284" s="264"/>
      <c r="K284" s="223"/>
    </row>
    <row r="285" spans="1:11" s="289" customFormat="1" x14ac:dyDescent="0.25">
      <c r="I285" s="264"/>
      <c r="K285" s="223"/>
    </row>
    <row r="286" spans="1:11" s="1" customFormat="1" x14ac:dyDescent="0.2">
      <c r="B286" s="1" t="s">
        <v>391</v>
      </c>
      <c r="G286" s="261"/>
      <c r="H286" s="261"/>
      <c r="I286" s="34">
        <f>TB!L60</f>
        <v>496</v>
      </c>
      <c r="K286" s="404">
        <v>193</v>
      </c>
    </row>
    <row r="287" spans="1:11" s="289" customFormat="1" x14ac:dyDescent="0.2">
      <c r="B287" s="289" t="s">
        <v>107</v>
      </c>
      <c r="G287" s="261"/>
      <c r="H287" s="261"/>
      <c r="I287" s="214">
        <f>TB!L62</f>
        <v>65</v>
      </c>
      <c r="K287" s="404">
        <v>25</v>
      </c>
    </row>
    <row r="288" spans="1:11" s="1" customFormat="1" x14ac:dyDescent="0.2">
      <c r="B288" s="555" t="s">
        <v>711</v>
      </c>
      <c r="G288" s="261"/>
      <c r="H288" s="261"/>
      <c r="I288" s="214">
        <v>0</v>
      </c>
      <c r="K288" s="404">
        <v>62</v>
      </c>
    </row>
    <row r="289" spans="1:17" s="555" customFormat="1" x14ac:dyDescent="0.2">
      <c r="B289" s="555" t="s">
        <v>710</v>
      </c>
      <c r="G289" s="261"/>
      <c r="H289" s="261"/>
      <c r="I289" s="556">
        <v>0</v>
      </c>
      <c r="K289" s="404">
        <v>25</v>
      </c>
    </row>
    <row r="290" spans="1:17" s="1" customFormat="1" ht="12.75" thickBot="1" x14ac:dyDescent="0.3">
      <c r="G290" s="261"/>
      <c r="H290" s="261"/>
      <c r="I290" s="25">
        <f>SUM(I286:I289)</f>
        <v>561</v>
      </c>
      <c r="K290" s="25">
        <f>SUM(K286:K289)</f>
        <v>305</v>
      </c>
      <c r="L290" s="3">
        <f>ROUNDUP(I290-K290,0)</f>
        <v>256</v>
      </c>
    </row>
    <row r="291" spans="1:17" s="289" customFormat="1" ht="12.75" thickTop="1" x14ac:dyDescent="0.25">
      <c r="G291" s="261"/>
      <c r="H291" s="261"/>
      <c r="I291" s="214"/>
      <c r="K291" s="47"/>
      <c r="L291" s="3"/>
    </row>
    <row r="292" spans="1:17" s="289" customFormat="1" x14ac:dyDescent="0.25">
      <c r="A292" s="478"/>
      <c r="B292" s="506"/>
      <c r="C292" s="506"/>
      <c r="D292" s="506"/>
      <c r="E292" s="506"/>
      <c r="F292" s="506"/>
      <c r="G292" s="506"/>
      <c r="H292" s="506"/>
      <c r="I292" s="506"/>
      <c r="J292" s="506"/>
      <c r="K292" s="506"/>
    </row>
    <row r="293" spans="1:17" s="289" customFormat="1" ht="14.1" customHeight="1" x14ac:dyDescent="0.2">
      <c r="B293" s="491"/>
      <c r="I293" s="42" t="s">
        <v>491</v>
      </c>
      <c r="J293" s="277"/>
      <c r="K293" s="42" t="s">
        <v>21</v>
      </c>
      <c r="Q293" s="538">
        <v>-59.56</v>
      </c>
    </row>
    <row r="294" spans="1:17" s="1" customFormat="1" ht="14.1" customHeight="1" x14ac:dyDescent="0.25">
      <c r="I294" s="40">
        <v>2022</v>
      </c>
      <c r="K294" s="40">
        <v>2021</v>
      </c>
      <c r="Q294" s="538">
        <v>17611.2</v>
      </c>
    </row>
    <row r="295" spans="1:17" s="1" customFormat="1" ht="14.1" customHeight="1" x14ac:dyDescent="0.25">
      <c r="I295" s="6" t="s">
        <v>20</v>
      </c>
      <c r="J295" s="176"/>
      <c r="K295" s="6" t="s">
        <v>19</v>
      </c>
      <c r="Q295" s="538">
        <v>10737123.07</v>
      </c>
    </row>
    <row r="296" spans="1:17" s="1" customFormat="1" ht="14.1" customHeight="1" x14ac:dyDescent="0.2">
      <c r="A296" s="489">
        <f>A283+1</f>
        <v>7</v>
      </c>
      <c r="B296" s="20" t="s">
        <v>480</v>
      </c>
      <c r="G296" s="175" t="s">
        <v>18</v>
      </c>
      <c r="H296" s="175"/>
      <c r="I296" s="722" t="s">
        <v>17</v>
      </c>
      <c r="J296" s="722"/>
      <c r="K296" s="722"/>
      <c r="Q296" s="538">
        <v>628732.73</v>
      </c>
    </row>
    <row r="297" spans="1:17" s="1" customFormat="1" ht="14.1" customHeight="1" x14ac:dyDescent="0.25">
      <c r="A297" s="259"/>
      <c r="Q297" s="537">
        <v>65107</v>
      </c>
    </row>
    <row r="298" spans="1:17" s="1" customFormat="1" ht="14.1" customHeight="1" x14ac:dyDescent="0.25">
      <c r="A298" s="172"/>
      <c r="B298" s="256" t="s">
        <v>34</v>
      </c>
      <c r="G298" s="502">
        <f>A308</f>
        <v>7.1</v>
      </c>
      <c r="H298" s="257"/>
      <c r="I298" s="3">
        <f>TB!L69</f>
        <v>0</v>
      </c>
      <c r="K298" s="5">
        <v>12614</v>
      </c>
      <c r="L298" s="636">
        <v>11796404.199999999</v>
      </c>
      <c r="M298" s="3">
        <f>I298-K298</f>
        <v>-12614</v>
      </c>
      <c r="Q298" s="537">
        <v>37278.18</v>
      </c>
    </row>
    <row r="299" spans="1:17" s="289" customFormat="1" ht="14.1" customHeight="1" x14ac:dyDescent="0.25">
      <c r="A299" s="278"/>
      <c r="B299" s="289" t="s">
        <v>457</v>
      </c>
      <c r="G299" s="502"/>
      <c r="H299" s="257"/>
      <c r="I299" s="3"/>
      <c r="K299" s="5"/>
      <c r="M299" s="3"/>
      <c r="Q299" s="537">
        <v>40670.910000000003</v>
      </c>
    </row>
    <row r="300" spans="1:17" s="289" customFormat="1" ht="14.1" customHeight="1" thickBot="1" x14ac:dyDescent="0.3">
      <c r="A300" s="278"/>
      <c r="B300" s="31" t="s">
        <v>458</v>
      </c>
      <c r="G300" s="502">
        <f>A331</f>
        <v>7.1999999999999993</v>
      </c>
      <c r="H300" s="257"/>
      <c r="I300" s="214">
        <f>TB!L63</f>
        <v>11933</v>
      </c>
      <c r="K300" s="556">
        <v>11933</v>
      </c>
      <c r="L300" s="636">
        <v>11932883.539999999</v>
      </c>
      <c r="M300" s="23">
        <v>53165917.799000002</v>
      </c>
      <c r="Q300" s="515">
        <v>-21</v>
      </c>
    </row>
    <row r="301" spans="1:17" s="1" customFormat="1" ht="14.1" customHeight="1" thickTop="1" x14ac:dyDescent="0.25">
      <c r="A301" s="172"/>
      <c r="B301" s="258" t="s">
        <v>106</v>
      </c>
      <c r="G301" s="257"/>
      <c r="H301" s="257"/>
      <c r="I301" s="3">
        <f>TB!L71</f>
        <v>12</v>
      </c>
      <c r="K301" s="5">
        <v>8575</v>
      </c>
    </row>
    <row r="302" spans="1:17" s="1" customFormat="1" ht="14.1" customHeight="1" x14ac:dyDescent="0.25">
      <c r="A302" s="172"/>
      <c r="B302" s="1" t="s">
        <v>105</v>
      </c>
      <c r="I302" s="3">
        <f>+TB!L68</f>
        <v>27</v>
      </c>
      <c r="K302" s="5">
        <v>24</v>
      </c>
      <c r="M302" s="1">
        <f>L298/M300</f>
        <v>0.22187906629577414</v>
      </c>
    </row>
    <row r="303" spans="1:17" s="1" customFormat="1" ht="14.1" customHeight="1" x14ac:dyDescent="0.25">
      <c r="A303" s="172"/>
      <c r="B303" s="1" t="s">
        <v>484</v>
      </c>
      <c r="I303" s="3">
        <f>TB!L70</f>
        <v>313</v>
      </c>
      <c r="K303" s="5">
        <v>463</v>
      </c>
      <c r="M303" s="1">
        <f>L300/M300</f>
        <v>0.2244461119831255</v>
      </c>
    </row>
    <row r="304" spans="1:17" s="289" customFormat="1" ht="14.1" customHeight="1" x14ac:dyDescent="0.25">
      <c r="A304" s="278"/>
      <c r="B304" s="289" t="s">
        <v>271</v>
      </c>
      <c r="I304" s="3">
        <f>TB!L72</f>
        <v>48</v>
      </c>
      <c r="K304" s="5">
        <v>31</v>
      </c>
    </row>
    <row r="305" spans="1:17" s="1" customFormat="1" ht="14.1" customHeight="1" x14ac:dyDescent="0.25">
      <c r="A305" s="172"/>
      <c r="B305" s="256" t="s">
        <v>488</v>
      </c>
      <c r="I305" s="3">
        <f>+TB!L73+TB!M74+1+TB!M67</f>
        <v>12350.78</v>
      </c>
      <c r="K305" s="5">
        <v>20</v>
      </c>
    </row>
    <row r="306" spans="1:17" s="1" customFormat="1" ht="14.1" customHeight="1" thickBot="1" x14ac:dyDescent="0.3">
      <c r="A306" s="172"/>
      <c r="I306" s="255">
        <f>SUM(I298:I305)</f>
        <v>24683.78</v>
      </c>
      <c r="K306" s="255">
        <f>SUM(K298:K305)</f>
        <v>33660</v>
      </c>
      <c r="L306" s="3">
        <f>I306-K306</f>
        <v>-8976.2200000000012</v>
      </c>
      <c r="M306" s="3">
        <f>SUM(I300:I305)</f>
        <v>24683.78</v>
      </c>
      <c r="N306" s="342">
        <f>SUM(K300:K305)</f>
        <v>21046</v>
      </c>
      <c r="O306" s="342">
        <f>M306-N306</f>
        <v>3637.7799999999988</v>
      </c>
    </row>
    <row r="307" spans="1:17" s="289" customFormat="1" ht="12.75" thickTop="1" x14ac:dyDescent="0.25">
      <c r="A307" s="278"/>
      <c r="I307" s="252"/>
      <c r="K307" s="252"/>
      <c r="L307" s="3"/>
      <c r="M307" s="3"/>
      <c r="N307" s="342"/>
      <c r="O307" s="342"/>
      <c r="Q307" s="537"/>
    </row>
    <row r="308" spans="1:17" s="1" customFormat="1" x14ac:dyDescent="0.2">
      <c r="A308" s="201">
        <f>A296+0.1</f>
        <v>7.1</v>
      </c>
      <c r="B308" s="254" t="s">
        <v>34</v>
      </c>
      <c r="I308" s="253"/>
      <c r="K308" s="252"/>
      <c r="Q308" s="515" t="s">
        <v>463</v>
      </c>
    </row>
    <row r="309" spans="1:17" s="1" customFormat="1" x14ac:dyDescent="0.25">
      <c r="A309" s="172"/>
      <c r="I309" s="253"/>
      <c r="K309" s="252"/>
      <c r="Q309" s="515" t="s">
        <v>464</v>
      </c>
    </row>
    <row r="310" spans="1:17" s="188" customFormat="1" x14ac:dyDescent="0.25">
      <c r="A310" s="251"/>
      <c r="B310" s="758" t="s">
        <v>695</v>
      </c>
      <c r="C310" s="758"/>
      <c r="D310" s="758"/>
      <c r="E310" s="758"/>
      <c r="F310" s="758"/>
      <c r="G310" s="758"/>
      <c r="H310" s="758"/>
      <c r="I310" s="758"/>
      <c r="J310" s="758"/>
      <c r="K310" s="758"/>
      <c r="Q310" s="515" t="s">
        <v>465</v>
      </c>
    </row>
    <row r="311" spans="1:17" s="188" customFormat="1" x14ac:dyDescent="0.25">
      <c r="A311" s="251"/>
      <c r="B311" s="758"/>
      <c r="C311" s="758"/>
      <c r="D311" s="758"/>
      <c r="E311" s="758"/>
      <c r="F311" s="758"/>
      <c r="G311" s="758"/>
      <c r="H311" s="758"/>
      <c r="I311" s="758"/>
      <c r="J311" s="758"/>
      <c r="K311" s="758"/>
      <c r="Q311" s="515">
        <v>50</v>
      </c>
    </row>
    <row r="312" spans="1:17" s="188" customFormat="1" x14ac:dyDescent="0.25">
      <c r="A312" s="251"/>
      <c r="B312" s="758"/>
      <c r="C312" s="758"/>
      <c r="D312" s="758"/>
      <c r="E312" s="758"/>
      <c r="F312" s="758"/>
      <c r="G312" s="758"/>
      <c r="H312" s="758"/>
      <c r="I312" s="758"/>
      <c r="J312" s="758"/>
      <c r="K312" s="758"/>
      <c r="Q312" s="515" t="s">
        <v>466</v>
      </c>
    </row>
    <row r="313" spans="1:17" s="188" customFormat="1" x14ac:dyDescent="0.25">
      <c r="A313" s="251"/>
      <c r="B313" s="758"/>
      <c r="C313" s="758"/>
      <c r="D313" s="758"/>
      <c r="E313" s="758"/>
      <c r="F313" s="758"/>
      <c r="G313" s="758"/>
      <c r="H313" s="758"/>
      <c r="I313" s="758"/>
      <c r="J313" s="758"/>
      <c r="K313" s="758"/>
      <c r="Q313" s="515">
        <v>1.4744999999999999</v>
      </c>
    </row>
    <row r="314" spans="1:17" s="188" customFormat="1" x14ac:dyDescent="0.25">
      <c r="A314" s="251"/>
      <c r="B314" s="758"/>
      <c r="C314" s="758"/>
      <c r="D314" s="758"/>
      <c r="E314" s="758"/>
      <c r="F314" s="758"/>
      <c r="G314" s="758"/>
      <c r="H314" s="758"/>
      <c r="I314" s="758"/>
      <c r="J314" s="758"/>
      <c r="K314" s="758"/>
      <c r="L314" s="3">
        <f>I298</f>
        <v>0</v>
      </c>
      <c r="M314" s="5">
        <f>K298</f>
        <v>12614</v>
      </c>
      <c r="N314" s="188" t="s">
        <v>307</v>
      </c>
    </row>
    <row r="315" spans="1:17" s="555" customFormat="1" x14ac:dyDescent="0.25">
      <c r="A315" s="278"/>
      <c r="B315" s="758"/>
      <c r="C315" s="758"/>
      <c r="D315" s="758"/>
      <c r="E315" s="758"/>
      <c r="F315" s="758"/>
      <c r="G315" s="758"/>
      <c r="H315" s="758"/>
      <c r="I315" s="758"/>
      <c r="J315" s="758"/>
      <c r="K315" s="758"/>
      <c r="L315" s="3"/>
      <c r="M315" s="545"/>
    </row>
    <row r="316" spans="1:17" s="555" customFormat="1" x14ac:dyDescent="0.25">
      <c r="A316" s="278"/>
      <c r="B316" s="758"/>
      <c r="C316" s="758"/>
      <c r="D316" s="758"/>
      <c r="E316" s="758"/>
      <c r="F316" s="758"/>
      <c r="G316" s="758"/>
      <c r="H316" s="758"/>
      <c r="I316" s="758"/>
      <c r="J316" s="758"/>
      <c r="K316" s="758"/>
      <c r="L316" s="3"/>
      <c r="M316" s="545"/>
    </row>
    <row r="317" spans="1:17" s="555" customFormat="1" x14ac:dyDescent="0.25">
      <c r="A317" s="278"/>
      <c r="B317" s="758"/>
      <c r="C317" s="758"/>
      <c r="D317" s="758"/>
      <c r="E317" s="758"/>
      <c r="F317" s="758"/>
      <c r="G317" s="758"/>
      <c r="H317" s="758"/>
      <c r="I317" s="758"/>
      <c r="J317" s="758"/>
      <c r="K317" s="758"/>
      <c r="L317" s="3"/>
      <c r="M317" s="545"/>
    </row>
    <row r="318" spans="1:17" s="555" customFormat="1" x14ac:dyDescent="0.25">
      <c r="A318" s="278"/>
      <c r="B318" s="758"/>
      <c r="C318" s="758"/>
      <c r="D318" s="758"/>
      <c r="E318" s="758"/>
      <c r="F318" s="758"/>
      <c r="G318" s="758"/>
      <c r="H318" s="758"/>
      <c r="I318" s="758"/>
      <c r="J318" s="758"/>
      <c r="K318" s="758"/>
      <c r="L318" s="3"/>
      <c r="M318" s="545"/>
    </row>
    <row r="319" spans="1:17" s="555" customFormat="1" x14ac:dyDescent="0.25">
      <c r="A319" s="278"/>
      <c r="B319" s="758"/>
      <c r="C319" s="758"/>
      <c r="D319" s="758"/>
      <c r="E319" s="758"/>
      <c r="F319" s="758"/>
      <c r="G319" s="758"/>
      <c r="H319" s="758"/>
      <c r="I319" s="758"/>
      <c r="J319" s="758"/>
      <c r="K319" s="758"/>
      <c r="L319" s="3"/>
      <c r="M319" s="545"/>
    </row>
    <row r="320" spans="1:17" s="555" customFormat="1" x14ac:dyDescent="0.25">
      <c r="A320" s="278"/>
      <c r="B320" s="758"/>
      <c r="C320" s="758"/>
      <c r="D320" s="758"/>
      <c r="E320" s="758"/>
      <c r="F320" s="758"/>
      <c r="G320" s="758"/>
      <c r="H320" s="758"/>
      <c r="I320" s="758"/>
      <c r="J320" s="758"/>
      <c r="K320" s="758"/>
      <c r="L320" s="3"/>
      <c r="M320" s="545"/>
    </row>
    <row r="321" spans="1:14" s="555" customFormat="1" ht="21.75" customHeight="1" x14ac:dyDescent="0.25">
      <c r="A321" s="278"/>
      <c r="B321" s="758"/>
      <c r="C321" s="758"/>
      <c r="D321" s="758"/>
      <c r="E321" s="758"/>
      <c r="F321" s="758"/>
      <c r="G321" s="758"/>
      <c r="H321" s="758"/>
      <c r="I321" s="758"/>
      <c r="J321" s="758"/>
      <c r="K321" s="758"/>
      <c r="L321" s="3"/>
      <c r="M321" s="545"/>
    </row>
    <row r="322" spans="1:14" s="555" customFormat="1" ht="27.6" customHeight="1" x14ac:dyDescent="0.25">
      <c r="A322" s="278"/>
      <c r="B322" s="758"/>
      <c r="C322" s="758"/>
      <c r="D322" s="758"/>
      <c r="E322" s="758"/>
      <c r="F322" s="758"/>
      <c r="G322" s="758"/>
      <c r="H322" s="758"/>
      <c r="I322" s="758"/>
      <c r="J322" s="758"/>
      <c r="K322" s="758"/>
      <c r="L322" s="3"/>
      <c r="M322" s="545"/>
    </row>
    <row r="323" spans="1:14" s="555" customFormat="1" x14ac:dyDescent="0.25">
      <c r="A323" s="278"/>
      <c r="B323" s="654"/>
      <c r="C323" s="654"/>
      <c r="D323" s="654"/>
      <c r="E323" s="654"/>
      <c r="F323" s="654"/>
      <c r="G323" s="654"/>
      <c r="H323" s="654"/>
      <c r="I323" s="654"/>
      <c r="J323" s="654"/>
      <c r="K323" s="654"/>
      <c r="L323" s="3"/>
      <c r="M323" s="545"/>
    </row>
    <row r="324" spans="1:14" s="555" customFormat="1" ht="15.75" customHeight="1" x14ac:dyDescent="0.25">
      <c r="A324" s="278"/>
      <c r="B324" s="758" t="s">
        <v>696</v>
      </c>
      <c r="C324" s="758"/>
      <c r="D324" s="758"/>
      <c r="E324" s="758"/>
      <c r="F324" s="758"/>
      <c r="G324" s="758"/>
      <c r="H324" s="758"/>
      <c r="I324" s="758"/>
      <c r="J324" s="758"/>
      <c r="K324" s="758"/>
      <c r="L324" s="3"/>
      <c r="M324" s="545"/>
    </row>
    <row r="325" spans="1:14" s="555" customFormat="1" ht="21" customHeight="1" x14ac:dyDescent="0.25">
      <c r="A325" s="278"/>
      <c r="B325" s="758"/>
      <c r="C325" s="758"/>
      <c r="D325" s="758"/>
      <c r="E325" s="758"/>
      <c r="F325" s="758"/>
      <c r="G325" s="758"/>
      <c r="H325" s="758"/>
      <c r="I325" s="758"/>
      <c r="J325" s="758"/>
      <c r="K325" s="758"/>
      <c r="L325" s="3"/>
      <c r="M325" s="545"/>
    </row>
    <row r="326" spans="1:14" s="555" customFormat="1" ht="19.5" customHeight="1" x14ac:dyDescent="0.25">
      <c r="A326" s="278"/>
      <c r="B326" s="758"/>
      <c r="C326" s="758"/>
      <c r="D326" s="758"/>
      <c r="E326" s="758"/>
      <c r="F326" s="758"/>
      <c r="G326" s="758"/>
      <c r="H326" s="758"/>
      <c r="I326" s="758"/>
      <c r="J326" s="758"/>
      <c r="K326" s="758"/>
      <c r="L326" s="3"/>
      <c r="M326" s="545"/>
    </row>
    <row r="327" spans="1:14" s="555" customFormat="1" ht="18" customHeight="1" x14ac:dyDescent="0.25">
      <c r="A327" s="278"/>
      <c r="B327" s="758"/>
      <c r="C327" s="758"/>
      <c r="D327" s="758"/>
      <c r="E327" s="758"/>
      <c r="F327" s="758"/>
      <c r="G327" s="758"/>
      <c r="H327" s="758"/>
      <c r="I327" s="758"/>
      <c r="J327" s="758"/>
      <c r="K327" s="758"/>
      <c r="L327" s="3"/>
      <c r="M327" s="545"/>
    </row>
    <row r="328" spans="1:14" s="555" customFormat="1" ht="21" customHeight="1" x14ac:dyDescent="0.25">
      <c r="A328" s="278"/>
      <c r="B328" s="758"/>
      <c r="C328" s="758"/>
      <c r="D328" s="758"/>
      <c r="E328" s="758"/>
      <c r="F328" s="758"/>
      <c r="G328" s="758"/>
      <c r="H328" s="758"/>
      <c r="I328" s="758"/>
      <c r="J328" s="758"/>
      <c r="K328" s="758"/>
      <c r="L328" s="3"/>
      <c r="M328" s="545"/>
    </row>
    <row r="329" spans="1:14" s="555" customFormat="1" x14ac:dyDescent="0.25">
      <c r="A329" s="278"/>
      <c r="B329" s="654"/>
      <c r="C329" s="654"/>
      <c r="D329" s="654"/>
      <c r="E329" s="654"/>
      <c r="F329" s="654"/>
      <c r="G329" s="654"/>
      <c r="H329" s="654"/>
      <c r="I329" s="654"/>
      <c r="J329" s="654"/>
      <c r="K329" s="654"/>
      <c r="L329" s="3"/>
      <c r="M329" s="545"/>
    </row>
    <row r="330" spans="1:14" s="555" customFormat="1" x14ac:dyDescent="0.25">
      <c r="A330" s="278"/>
      <c r="B330" s="654"/>
      <c r="C330" s="654"/>
      <c r="D330" s="654"/>
      <c r="E330" s="654"/>
      <c r="F330" s="654"/>
      <c r="G330" s="654"/>
      <c r="H330" s="654"/>
      <c r="I330" s="654"/>
      <c r="J330" s="654"/>
      <c r="K330" s="654"/>
      <c r="L330" s="3"/>
      <c r="M330" s="545"/>
    </row>
    <row r="331" spans="1:14" s="1" customFormat="1" x14ac:dyDescent="0.25">
      <c r="A331" s="241">
        <f>A308+0.1</f>
        <v>7.1999999999999993</v>
      </c>
      <c r="B331" s="189" t="s">
        <v>104</v>
      </c>
      <c r="M331" s="3">
        <f>+I298*1000</f>
        <v>0</v>
      </c>
      <c r="N331" s="342">
        <f>+K298*1000</f>
        <v>12614000</v>
      </c>
    </row>
    <row r="332" spans="1:14" s="1" customFormat="1" x14ac:dyDescent="0.25">
      <c r="A332" s="172"/>
      <c r="M332" s="1">
        <f>+SAL!F30</f>
        <v>303730416.79879999</v>
      </c>
      <c r="N332" s="3">
        <f>SAL!H30</f>
        <v>61794223</v>
      </c>
    </row>
    <row r="333" spans="1:14" s="1" customFormat="1" x14ac:dyDescent="0.25">
      <c r="A333" s="172"/>
      <c r="B333" s="752" t="s">
        <v>895</v>
      </c>
      <c r="C333" s="752"/>
      <c r="D333" s="752"/>
      <c r="E333" s="752"/>
      <c r="F333" s="752"/>
      <c r="G333" s="752"/>
      <c r="H333" s="752"/>
      <c r="I333" s="752"/>
      <c r="J333" s="752"/>
      <c r="K333" s="752"/>
      <c r="M333" s="640">
        <f>+M331/M332</f>
        <v>0</v>
      </c>
      <c r="N333" s="640">
        <f>+N331/N332</f>
        <v>0.20412911414065357</v>
      </c>
    </row>
    <row r="334" spans="1:14" s="1" customFormat="1" x14ac:dyDescent="0.25">
      <c r="A334" s="172"/>
      <c r="B334" s="752"/>
      <c r="C334" s="752"/>
      <c r="D334" s="752"/>
      <c r="E334" s="752"/>
      <c r="F334" s="752"/>
      <c r="G334" s="752"/>
      <c r="H334" s="752"/>
      <c r="I334" s="752"/>
      <c r="J334" s="752"/>
      <c r="K334" s="752"/>
      <c r="L334" s="556">
        <f>+I300</f>
        <v>11933</v>
      </c>
    </row>
    <row r="335" spans="1:14" s="1" customFormat="1" x14ac:dyDescent="0.25">
      <c r="A335" s="172"/>
      <c r="B335" s="752"/>
      <c r="C335" s="752"/>
      <c r="D335" s="752"/>
      <c r="E335" s="752"/>
      <c r="F335" s="752"/>
      <c r="G335" s="752"/>
      <c r="H335" s="752"/>
      <c r="I335" s="752"/>
      <c r="J335" s="752"/>
      <c r="K335" s="752"/>
      <c r="L335" s="1">
        <f>+SAL!F30</f>
        <v>303730416.79879999</v>
      </c>
      <c r="M335" s="1">
        <f>+I300*1000</f>
        <v>11933000</v>
      </c>
      <c r="N335" s="1">
        <f>+K300*1000</f>
        <v>11933000</v>
      </c>
    </row>
    <row r="336" spans="1:14" s="1" customFormat="1" x14ac:dyDescent="0.25">
      <c r="A336" s="172"/>
      <c r="B336" s="752"/>
      <c r="C336" s="752"/>
      <c r="D336" s="752"/>
      <c r="E336" s="752"/>
      <c r="F336" s="752"/>
      <c r="G336" s="752"/>
      <c r="H336" s="752"/>
      <c r="I336" s="752"/>
      <c r="J336" s="752"/>
      <c r="K336" s="752"/>
      <c r="L336" s="538">
        <f>L334/(L335/1000)</f>
        <v>3.9288129670281828E-2</v>
      </c>
      <c r="M336" s="1">
        <f>+M332</f>
        <v>303730416.79879999</v>
      </c>
      <c r="N336" s="3">
        <f>+N332</f>
        <v>61794223</v>
      </c>
    </row>
    <row r="337" spans="1:14" s="1" customFormat="1" x14ac:dyDescent="0.25">
      <c r="A337" s="172"/>
      <c r="B337" s="752"/>
      <c r="C337" s="752"/>
      <c r="D337" s="752"/>
      <c r="E337" s="752"/>
      <c r="F337" s="752"/>
      <c r="G337" s="752"/>
      <c r="H337" s="752"/>
      <c r="I337" s="752"/>
      <c r="J337" s="752"/>
      <c r="K337" s="752"/>
      <c r="M337" s="640">
        <f>M335/M336</f>
        <v>3.9288129670281828E-2</v>
      </c>
      <c r="N337" s="640">
        <f>N335/N336</f>
        <v>0.19310866648489131</v>
      </c>
    </row>
    <row r="338" spans="1:14" s="1" customFormat="1" x14ac:dyDescent="0.25">
      <c r="A338" s="172"/>
    </row>
    <row r="339" spans="1:14" s="1" customFormat="1" x14ac:dyDescent="0.25">
      <c r="A339" s="172"/>
      <c r="B339" s="250"/>
      <c r="C339" s="250"/>
      <c r="D339" s="250"/>
      <c r="E339" s="250"/>
      <c r="F339" s="250"/>
      <c r="G339" s="250"/>
      <c r="H339" s="250"/>
      <c r="I339" s="250"/>
      <c r="J339" s="250"/>
      <c r="K339" s="250"/>
    </row>
    <row r="340" spans="1:14" x14ac:dyDescent="0.2">
      <c r="A340" s="241">
        <f>A331+0.8</f>
        <v>7.9999999999999991</v>
      </c>
      <c r="B340" s="20" t="s">
        <v>103</v>
      </c>
      <c r="C340" s="236"/>
      <c r="D340" s="236"/>
      <c r="E340" s="236"/>
      <c r="F340" s="236"/>
      <c r="G340" s="236"/>
      <c r="H340" s="236"/>
      <c r="I340" s="236"/>
      <c r="J340" s="236"/>
      <c r="K340" s="236"/>
    </row>
    <row r="341" spans="1:14" x14ac:dyDescent="0.2">
      <c r="A341" s="172"/>
      <c r="B341" s="1"/>
      <c r="C341" s="236"/>
      <c r="D341" s="236"/>
      <c r="E341" s="236"/>
      <c r="F341" s="236"/>
      <c r="G341" s="236"/>
      <c r="H341" s="236"/>
      <c r="I341" s="236"/>
      <c r="J341" s="236"/>
      <c r="K341" s="236"/>
    </row>
    <row r="342" spans="1:14" x14ac:dyDescent="0.2">
      <c r="A342" s="172"/>
      <c r="B342" s="408" t="s">
        <v>694</v>
      </c>
      <c r="C342" s="243"/>
      <c r="D342" s="243"/>
      <c r="E342" s="243"/>
      <c r="F342" s="243"/>
      <c r="G342" s="243"/>
      <c r="H342" s="243"/>
      <c r="I342" s="243"/>
      <c r="J342" s="243"/>
      <c r="K342" s="243"/>
    </row>
    <row r="343" spans="1:14" ht="15" hidden="1" customHeight="1" x14ac:dyDescent="0.2">
      <c r="A343" s="249"/>
      <c r="B343" s="243"/>
      <c r="C343" s="243"/>
      <c r="D343" s="243"/>
      <c r="E343" s="243"/>
      <c r="F343" s="243"/>
      <c r="G343" s="243"/>
      <c r="H343" s="243"/>
      <c r="I343" s="243"/>
      <c r="J343" s="243"/>
      <c r="K343" s="243"/>
    </row>
    <row r="344" spans="1:14" ht="15" hidden="1" customHeight="1" x14ac:dyDescent="0.2">
      <c r="A344" s="249"/>
      <c r="I344" s="42" t="s">
        <v>21</v>
      </c>
      <c r="K344" s="42" t="s">
        <v>21</v>
      </c>
    </row>
    <row r="345" spans="1:14" s="1" customFormat="1" ht="15" hidden="1" customHeight="1" x14ac:dyDescent="0.25">
      <c r="A345" s="172"/>
      <c r="I345" s="40">
        <v>2018</v>
      </c>
      <c r="J345" s="176"/>
      <c r="K345" s="40">
        <v>2017</v>
      </c>
    </row>
    <row r="346" spans="1:14" s="1" customFormat="1" ht="15" hidden="1" customHeight="1" x14ac:dyDescent="0.2">
      <c r="A346" s="172"/>
      <c r="G346" s="6" t="s">
        <v>18</v>
      </c>
      <c r="H346" s="6"/>
      <c r="I346" s="722" t="s">
        <v>17</v>
      </c>
      <c r="J346" s="722"/>
      <c r="K346" s="722"/>
    </row>
    <row r="347" spans="1:14" s="1" customFormat="1" ht="15" hidden="1" customHeight="1" x14ac:dyDescent="0.2">
      <c r="A347" s="241" t="s">
        <v>102</v>
      </c>
      <c r="B347" s="189" t="s">
        <v>101</v>
      </c>
      <c r="G347" s="6"/>
      <c r="H347" s="6"/>
      <c r="I347" s="174"/>
      <c r="J347" s="174"/>
      <c r="K347" s="174"/>
    </row>
    <row r="348" spans="1:14" s="1" customFormat="1" ht="15" hidden="1" customHeight="1" x14ac:dyDescent="0.2">
      <c r="A348" s="241"/>
      <c r="B348" s="189"/>
      <c r="G348" s="6"/>
      <c r="H348" s="6"/>
      <c r="I348" s="174"/>
      <c r="J348" s="174"/>
      <c r="K348" s="174"/>
    </row>
    <row r="349" spans="1:14" s="1" customFormat="1" ht="15" hidden="1" customHeight="1" x14ac:dyDescent="0.2">
      <c r="A349" s="241"/>
      <c r="B349" s="188" t="s">
        <v>100</v>
      </c>
      <c r="G349" s="6"/>
      <c r="H349" s="6"/>
      <c r="I349" s="174">
        <v>250</v>
      </c>
      <c r="J349" s="174"/>
      <c r="K349" s="246">
        <f>ROUND(I349/365*8,0)</f>
        <v>5</v>
      </c>
    </row>
    <row r="350" spans="1:14" s="1" customFormat="1" ht="15" hidden="1" customHeight="1" x14ac:dyDescent="0.2">
      <c r="A350" s="241"/>
      <c r="B350" s="188" t="s">
        <v>99</v>
      </c>
      <c r="G350" s="6"/>
      <c r="H350" s="6"/>
      <c r="I350" s="174">
        <v>131</v>
      </c>
      <c r="J350" s="174"/>
      <c r="K350" s="246">
        <f>ROUND(I350/1.05/365*8,0)</f>
        <v>3</v>
      </c>
    </row>
    <row r="351" spans="1:14" s="1" customFormat="1" ht="15" hidden="1" customHeight="1" x14ac:dyDescent="0.2">
      <c r="A351" s="172"/>
      <c r="B351" s="1" t="s">
        <v>98</v>
      </c>
      <c r="G351" s="6"/>
      <c r="H351" s="6"/>
      <c r="I351" s="174">
        <v>53</v>
      </c>
      <c r="J351" s="174"/>
      <c r="K351" s="246">
        <f>ROUND(I351/365*8,0)</f>
        <v>1</v>
      </c>
    </row>
    <row r="352" spans="1:14" s="1" customFormat="1" ht="15" hidden="1" customHeight="1" x14ac:dyDescent="0.2">
      <c r="A352" s="172"/>
      <c r="G352" s="6"/>
      <c r="H352" s="6"/>
      <c r="I352" s="248">
        <f>SUM(I349:I351)</f>
        <v>434</v>
      </c>
      <c r="J352" s="174"/>
      <c r="K352" s="247">
        <f>SUM(K349:K351)</f>
        <v>9</v>
      </c>
    </row>
    <row r="353" spans="1:11" s="1" customFormat="1" ht="15" hidden="1" customHeight="1" x14ac:dyDescent="0.2">
      <c r="A353" s="172"/>
      <c r="B353" s="1" t="s">
        <v>97</v>
      </c>
      <c r="G353" s="6"/>
      <c r="H353" s="6"/>
      <c r="I353" s="174">
        <v>35</v>
      </c>
      <c r="J353" s="174"/>
      <c r="K353" s="246">
        <v>1</v>
      </c>
    </row>
    <row r="354" spans="1:11" s="1" customFormat="1" ht="15" hidden="1" customHeight="1" x14ac:dyDescent="0.2">
      <c r="A354" s="172"/>
      <c r="B354" s="1" t="s">
        <v>96</v>
      </c>
      <c r="G354" s="6"/>
      <c r="H354" s="6"/>
      <c r="I354" s="174">
        <v>20</v>
      </c>
      <c r="J354" s="174"/>
      <c r="K354" s="246">
        <v>0</v>
      </c>
    </row>
    <row r="355" spans="1:11" s="1" customFormat="1" ht="15" hidden="1" customHeight="1" thickBot="1" x14ac:dyDescent="0.25">
      <c r="A355" s="172"/>
      <c r="G355" s="6"/>
      <c r="H355" s="6"/>
      <c r="I355" s="245">
        <f>SUM(I352:I354)</f>
        <v>489</v>
      </c>
      <c r="J355" s="174"/>
      <c r="K355" s="244">
        <f>SUM(K352:K354)</f>
        <v>10</v>
      </c>
    </row>
    <row r="356" spans="1:11" s="1" customFormat="1" x14ac:dyDescent="0.2">
      <c r="A356" s="172"/>
      <c r="G356" s="6"/>
      <c r="H356" s="6"/>
      <c r="I356" s="174"/>
      <c r="J356" s="174"/>
      <c r="K356" s="174"/>
    </row>
    <row r="357" spans="1:11" s="1" customFormat="1" x14ac:dyDescent="0.2">
      <c r="A357" s="241">
        <f>A340+1</f>
        <v>9</v>
      </c>
      <c r="B357" s="189" t="s">
        <v>95</v>
      </c>
      <c r="G357" s="6"/>
      <c r="H357" s="6"/>
      <c r="I357" s="174"/>
      <c r="J357" s="174"/>
      <c r="K357" s="174"/>
    </row>
    <row r="358" spans="1:11" s="1" customFormat="1" x14ac:dyDescent="0.2">
      <c r="A358" s="241"/>
      <c r="B358" s="189"/>
      <c r="G358" s="6"/>
      <c r="H358" s="6"/>
      <c r="I358" s="174"/>
      <c r="J358" s="174"/>
      <c r="K358" s="174"/>
    </row>
    <row r="359" spans="1:11" s="1" customFormat="1" x14ac:dyDescent="0.25">
      <c r="B359" s="758" t="s">
        <v>693</v>
      </c>
      <c r="C359" s="758"/>
      <c r="D359" s="758"/>
      <c r="E359" s="758"/>
      <c r="F359" s="758"/>
      <c r="G359" s="758"/>
      <c r="H359" s="758"/>
      <c r="I359" s="758"/>
      <c r="J359" s="758"/>
      <c r="K359" s="758"/>
    </row>
    <row r="360" spans="1:11" s="1" customFormat="1" x14ac:dyDescent="0.25">
      <c r="B360" s="758"/>
      <c r="C360" s="758"/>
      <c r="D360" s="758"/>
      <c r="E360" s="758"/>
      <c r="F360" s="758"/>
      <c r="G360" s="758"/>
      <c r="H360" s="758"/>
      <c r="I360" s="758"/>
      <c r="J360" s="758"/>
      <c r="K360" s="758"/>
    </row>
    <row r="361" spans="1:11" s="1" customFormat="1" x14ac:dyDescent="0.25">
      <c r="B361" s="758"/>
      <c r="C361" s="758"/>
      <c r="D361" s="758"/>
      <c r="E361" s="758"/>
      <c r="F361" s="758"/>
      <c r="G361" s="758"/>
      <c r="H361" s="758"/>
      <c r="I361" s="758"/>
      <c r="J361" s="758"/>
      <c r="K361" s="758"/>
    </row>
    <row r="362" spans="1:11" s="1" customFormat="1" x14ac:dyDescent="0.25">
      <c r="B362" s="758"/>
      <c r="C362" s="758"/>
      <c r="D362" s="758"/>
      <c r="E362" s="758"/>
      <c r="F362" s="758"/>
      <c r="G362" s="758"/>
      <c r="H362" s="758"/>
      <c r="I362" s="758"/>
      <c r="J362" s="758"/>
      <c r="K362" s="758"/>
    </row>
    <row r="363" spans="1:11" s="1" customFormat="1" x14ac:dyDescent="0.25">
      <c r="B363" s="758"/>
      <c r="C363" s="758"/>
      <c r="D363" s="758"/>
      <c r="E363" s="758"/>
      <c r="F363" s="758"/>
      <c r="G363" s="758"/>
      <c r="H363" s="758"/>
      <c r="I363" s="758"/>
      <c r="J363" s="758"/>
      <c r="K363" s="758"/>
    </row>
    <row r="364" spans="1:11" s="1" customFormat="1" x14ac:dyDescent="0.25">
      <c r="B364" s="758"/>
      <c r="C364" s="758"/>
      <c r="D364" s="758"/>
      <c r="E364" s="758"/>
      <c r="F364" s="758"/>
      <c r="G364" s="758"/>
      <c r="H364" s="758"/>
      <c r="I364" s="758"/>
      <c r="J364" s="758"/>
      <c r="K364" s="758"/>
    </row>
    <row r="365" spans="1:11" s="1" customFormat="1" x14ac:dyDescent="0.25">
      <c r="B365" s="758"/>
      <c r="C365" s="758"/>
      <c r="D365" s="758"/>
      <c r="E365" s="758"/>
      <c r="F365" s="758"/>
      <c r="G365" s="758"/>
      <c r="H365" s="758"/>
      <c r="I365" s="758"/>
      <c r="J365" s="758"/>
      <c r="K365" s="758"/>
    </row>
    <row r="366" spans="1:11" s="1" customFormat="1" x14ac:dyDescent="0.25">
      <c r="B366" s="758"/>
      <c r="C366" s="758"/>
      <c r="D366" s="758"/>
      <c r="E366" s="758"/>
      <c r="F366" s="758"/>
      <c r="G366" s="758"/>
      <c r="H366" s="758"/>
      <c r="I366" s="758"/>
      <c r="J366" s="758"/>
      <c r="K366" s="758"/>
    </row>
    <row r="367" spans="1:11" s="1" customFormat="1" x14ac:dyDescent="0.25">
      <c r="B367" s="758"/>
      <c r="C367" s="758"/>
      <c r="D367" s="758"/>
      <c r="E367" s="758"/>
      <c r="F367" s="758"/>
      <c r="G367" s="758"/>
      <c r="H367" s="758"/>
      <c r="I367" s="758"/>
      <c r="J367" s="758"/>
      <c r="K367" s="758"/>
    </row>
    <row r="368" spans="1:11" s="1" customFormat="1" x14ac:dyDescent="0.25">
      <c r="B368" s="242"/>
      <c r="C368" s="242"/>
      <c r="D368" s="242"/>
      <c r="E368" s="242"/>
      <c r="F368" s="242"/>
      <c r="G368" s="242"/>
      <c r="H368" s="242"/>
      <c r="I368" s="242"/>
      <c r="J368" s="242"/>
      <c r="K368" s="242"/>
    </row>
    <row r="369" spans="1:20" s="289" customFormat="1" x14ac:dyDescent="0.25">
      <c r="B369" s="409"/>
      <c r="C369" s="409"/>
      <c r="D369" s="410"/>
      <c r="E369" s="410"/>
      <c r="F369" s="410"/>
      <c r="G369" s="410"/>
      <c r="H369" s="410"/>
      <c r="I369" s="453"/>
      <c r="J369" s="410"/>
      <c r="K369" s="453"/>
    </row>
    <row r="370" spans="1:20" s="289" customFormat="1" x14ac:dyDescent="0.25">
      <c r="A370" s="241">
        <f>A357+1</f>
        <v>10</v>
      </c>
      <c r="B370" s="189" t="s">
        <v>399</v>
      </c>
      <c r="C370" s="243"/>
      <c r="D370" s="243"/>
      <c r="E370" s="243"/>
      <c r="F370" s="243"/>
      <c r="G370" s="243"/>
      <c r="H370" s="243"/>
      <c r="I370" s="243"/>
      <c r="J370" s="243"/>
      <c r="K370" s="243"/>
    </row>
    <row r="371" spans="1:20" s="289" customFormat="1" x14ac:dyDescent="0.25">
      <c r="A371" s="241"/>
      <c r="B371" s="189"/>
      <c r="C371" s="243"/>
      <c r="D371" s="243"/>
      <c r="E371" s="243"/>
      <c r="F371" s="243"/>
      <c r="G371" s="243"/>
      <c r="H371" s="243"/>
      <c r="I371" s="243"/>
      <c r="J371" s="243"/>
      <c r="K371" s="243"/>
      <c r="O371" s="538">
        <f>0.21/274*365</f>
        <v>0.27974452554744522</v>
      </c>
      <c r="P371" s="538">
        <f>0.28/274*365</f>
        <v>0.37299270072992702</v>
      </c>
    </row>
    <row r="372" spans="1:20" s="289" customFormat="1" x14ac:dyDescent="0.25">
      <c r="A372" s="241"/>
      <c r="B372" s="760" t="s">
        <v>94</v>
      </c>
      <c r="C372" s="760"/>
      <c r="D372" s="760"/>
      <c r="E372" s="760"/>
      <c r="F372" s="760"/>
      <c r="G372" s="760"/>
      <c r="H372" s="760"/>
      <c r="I372" s="760"/>
      <c r="J372" s="760"/>
      <c r="K372" s="760"/>
      <c r="P372" s="718">
        <f>+P371-O371</f>
        <v>9.3248175182481796E-2</v>
      </c>
    </row>
    <row r="373" spans="1:20" s="289" customFormat="1" x14ac:dyDescent="0.25">
      <c r="A373" s="1"/>
      <c r="B373" s="760"/>
      <c r="C373" s="760"/>
      <c r="D373" s="760"/>
      <c r="E373" s="760"/>
      <c r="F373" s="760"/>
      <c r="G373" s="760"/>
      <c r="H373" s="760"/>
      <c r="I373" s="760"/>
      <c r="J373" s="760"/>
      <c r="K373" s="760"/>
    </row>
    <row r="374" spans="1:20" s="289" customFormat="1" x14ac:dyDescent="0.25">
      <c r="B374" s="477"/>
      <c r="C374" s="477"/>
      <c r="D374" s="479"/>
      <c r="E374" s="479"/>
      <c r="F374" s="479"/>
      <c r="G374" s="479"/>
      <c r="H374" s="479"/>
      <c r="I374" s="453"/>
      <c r="J374" s="479"/>
      <c r="K374" s="453"/>
    </row>
    <row r="375" spans="1:20" s="1" customFormat="1" x14ac:dyDescent="0.25">
      <c r="A375" s="241">
        <f>A370+1</f>
        <v>11</v>
      </c>
      <c r="B375" s="20" t="s">
        <v>93</v>
      </c>
      <c r="C375" s="192"/>
      <c r="D375" s="192"/>
      <c r="E375" s="192"/>
      <c r="F375" s="192"/>
      <c r="G375" s="242"/>
      <c r="H375" s="242"/>
      <c r="I375" s="242"/>
      <c r="J375" s="242"/>
      <c r="K375" s="242"/>
    </row>
    <row r="376" spans="1:20" s="1" customFormat="1" x14ac:dyDescent="0.25">
      <c r="B376" s="20"/>
      <c r="C376" s="192"/>
      <c r="D376" s="192"/>
      <c r="E376" s="192"/>
      <c r="F376" s="192"/>
      <c r="G376" s="242"/>
      <c r="H376" s="242"/>
      <c r="I376" s="242"/>
      <c r="J376" s="242"/>
      <c r="K376" s="242"/>
    </row>
    <row r="377" spans="1:20" s="1" customFormat="1" ht="11.45" customHeight="1" x14ac:dyDescent="0.25">
      <c r="B377" s="748" t="s">
        <v>896</v>
      </c>
      <c r="C377" s="748"/>
      <c r="D377" s="748"/>
      <c r="E377" s="748"/>
      <c r="F377" s="748"/>
      <c r="G377" s="748"/>
      <c r="H377" s="748"/>
      <c r="I377" s="748"/>
      <c r="J377" s="748"/>
      <c r="K377" s="748"/>
      <c r="M377" s="1">
        <f>IS!E45-IS!E49</f>
        <v>4520</v>
      </c>
      <c r="O377" s="756"/>
      <c r="P377" s="756"/>
      <c r="Q377" s="756"/>
      <c r="R377" s="756"/>
      <c r="S377" s="756"/>
      <c r="T377" s="756"/>
    </row>
    <row r="378" spans="1:20" s="1" customFormat="1" x14ac:dyDescent="0.25">
      <c r="B378" s="748"/>
      <c r="C378" s="748"/>
      <c r="D378" s="748"/>
      <c r="E378" s="748"/>
      <c r="F378" s="748"/>
      <c r="G378" s="748"/>
      <c r="H378" s="748"/>
      <c r="I378" s="748"/>
      <c r="J378" s="748"/>
      <c r="K378" s="748"/>
      <c r="M378" s="545">
        <v>396218511022</v>
      </c>
      <c r="O378" s="756"/>
      <c r="P378" s="756"/>
      <c r="Q378" s="756"/>
      <c r="R378" s="756"/>
      <c r="S378" s="756"/>
      <c r="T378" s="756"/>
    </row>
    <row r="379" spans="1:20" s="1" customFormat="1" x14ac:dyDescent="0.25">
      <c r="B379" s="748"/>
      <c r="C379" s="748"/>
      <c r="D379" s="748"/>
      <c r="E379" s="748"/>
      <c r="F379" s="748"/>
      <c r="G379" s="748"/>
      <c r="H379" s="748"/>
      <c r="I379" s="748"/>
      <c r="J379" s="748"/>
      <c r="K379" s="748"/>
      <c r="M379" s="545">
        <f>(M378/184)/1000</f>
        <v>2153361.472945652</v>
      </c>
      <c r="O379" s="756"/>
      <c r="P379" s="756"/>
      <c r="Q379" s="756"/>
      <c r="R379" s="756"/>
      <c r="S379" s="756"/>
      <c r="T379" s="756"/>
    </row>
    <row r="380" spans="1:20" s="555" customFormat="1" x14ac:dyDescent="0.25">
      <c r="B380" s="236"/>
      <c r="C380" s="236"/>
      <c r="D380" s="236"/>
      <c r="E380" s="236"/>
      <c r="F380" s="236"/>
      <c r="G380" s="236"/>
      <c r="H380" s="236"/>
      <c r="I380" s="236"/>
      <c r="J380" s="236"/>
      <c r="K380" s="236"/>
      <c r="M380" s="545"/>
      <c r="O380" s="756"/>
      <c r="P380" s="756"/>
      <c r="Q380" s="756"/>
      <c r="R380" s="756"/>
      <c r="S380" s="756"/>
      <c r="T380" s="756"/>
    </row>
    <row r="381" spans="1:20" s="1" customFormat="1" x14ac:dyDescent="0.25">
      <c r="B381" s="236"/>
      <c r="C381" s="236"/>
      <c r="D381" s="236"/>
      <c r="E381" s="236"/>
      <c r="F381" s="236"/>
      <c r="G381" s="236"/>
      <c r="H381" s="236"/>
      <c r="I381" s="236"/>
      <c r="J381" s="236"/>
      <c r="K381" s="236"/>
      <c r="M381" s="542">
        <f>M377/M379</f>
        <v>2.099043777270217E-3</v>
      </c>
      <c r="O381" s="756"/>
      <c r="P381" s="756"/>
      <c r="Q381" s="756"/>
      <c r="R381" s="756"/>
      <c r="S381" s="756"/>
      <c r="T381" s="756"/>
    </row>
    <row r="382" spans="1:20" s="1" customFormat="1" x14ac:dyDescent="0.25">
      <c r="A382" s="241">
        <f>A375+1</f>
        <v>12</v>
      </c>
      <c r="B382" s="240" t="s">
        <v>422</v>
      </c>
      <c r="M382" s="1">
        <f>0.44-0.28</f>
        <v>0.15999999999999998</v>
      </c>
    </row>
    <row r="383" spans="1:20" s="1" customFormat="1" x14ac:dyDescent="0.25">
      <c r="M383" s="1">
        <f>0.28-0.21</f>
        <v>7.0000000000000034E-2</v>
      </c>
    </row>
    <row r="384" spans="1:20" s="1" customFormat="1" x14ac:dyDescent="0.25">
      <c r="B384" s="759" t="s">
        <v>410</v>
      </c>
      <c r="C384" s="759"/>
      <c r="D384" s="759"/>
      <c r="E384" s="759"/>
      <c r="F384" s="759"/>
      <c r="G384" s="759"/>
      <c r="H384" s="759"/>
      <c r="I384" s="759"/>
      <c r="J384" s="759"/>
      <c r="K384" s="759"/>
    </row>
    <row r="385" spans="1:11" s="1" customFormat="1" x14ac:dyDescent="0.25">
      <c r="B385" s="759"/>
      <c r="C385" s="759"/>
      <c r="D385" s="759"/>
      <c r="E385" s="759"/>
      <c r="F385" s="759"/>
      <c r="G385" s="759"/>
      <c r="H385" s="759"/>
      <c r="I385" s="759"/>
      <c r="J385" s="759"/>
      <c r="K385" s="759"/>
    </row>
    <row r="386" spans="1:11" s="1" customFormat="1" x14ac:dyDescent="0.25">
      <c r="B386" s="759"/>
      <c r="C386" s="759"/>
      <c r="D386" s="759"/>
      <c r="E386" s="759"/>
      <c r="F386" s="759"/>
      <c r="G386" s="759"/>
      <c r="H386" s="759"/>
      <c r="I386" s="759"/>
      <c r="J386" s="759"/>
      <c r="K386" s="759"/>
    </row>
    <row r="387" spans="1:11" s="1" customFormat="1" x14ac:dyDescent="0.25">
      <c r="B387" s="759"/>
      <c r="C387" s="759"/>
      <c r="D387" s="759"/>
      <c r="E387" s="759"/>
      <c r="F387" s="759"/>
      <c r="G387" s="759"/>
      <c r="H387" s="759"/>
      <c r="I387" s="759"/>
      <c r="J387" s="759"/>
      <c r="K387" s="759"/>
    </row>
    <row r="388" spans="1:11" s="1" customFormat="1" x14ac:dyDescent="0.25">
      <c r="B388" s="759"/>
      <c r="C388" s="759"/>
      <c r="D388" s="759"/>
      <c r="E388" s="759"/>
      <c r="F388" s="759"/>
      <c r="G388" s="759"/>
      <c r="H388" s="759"/>
      <c r="I388" s="759"/>
      <c r="J388" s="759"/>
      <c r="K388" s="759"/>
    </row>
    <row r="389" spans="1:11" s="289" customFormat="1" x14ac:dyDescent="0.25">
      <c r="A389" s="1"/>
      <c r="B389" s="509"/>
      <c r="C389" s="509"/>
      <c r="D389" s="509"/>
      <c r="E389" s="509"/>
      <c r="F389" s="509"/>
      <c r="G389" s="509"/>
      <c r="H389" s="509"/>
      <c r="I389" s="509"/>
      <c r="J389" s="509"/>
      <c r="K389" s="509"/>
    </row>
    <row r="390" spans="1:11" s="1" customFormat="1" x14ac:dyDescent="0.25">
      <c r="B390" s="759" t="s">
        <v>411</v>
      </c>
      <c r="C390" s="759"/>
      <c r="D390" s="759"/>
      <c r="E390" s="759"/>
      <c r="F390" s="759"/>
      <c r="G390" s="759"/>
      <c r="H390" s="759"/>
      <c r="I390" s="759"/>
      <c r="J390" s="759"/>
      <c r="K390" s="759"/>
    </row>
    <row r="391" spans="1:11" s="1" customFormat="1" x14ac:dyDescent="0.25">
      <c r="B391" s="759"/>
      <c r="C391" s="759"/>
      <c r="D391" s="759"/>
      <c r="E391" s="759"/>
      <c r="F391" s="759"/>
      <c r="G391" s="759"/>
      <c r="H391" s="759"/>
      <c r="I391" s="759"/>
      <c r="J391" s="759"/>
      <c r="K391" s="759"/>
    </row>
    <row r="392" spans="1:11" s="1" customFormat="1" x14ac:dyDescent="0.25">
      <c r="B392" s="759"/>
      <c r="C392" s="759"/>
      <c r="D392" s="759"/>
      <c r="E392" s="759"/>
      <c r="F392" s="759"/>
      <c r="G392" s="759"/>
      <c r="H392" s="759"/>
      <c r="I392" s="759"/>
      <c r="J392" s="759"/>
      <c r="K392" s="759"/>
    </row>
    <row r="393" spans="1:11" s="1" customFormat="1" x14ac:dyDescent="0.25">
      <c r="B393" s="759"/>
      <c r="C393" s="759"/>
      <c r="D393" s="759"/>
      <c r="E393" s="759"/>
      <c r="F393" s="759"/>
      <c r="G393" s="759"/>
      <c r="H393" s="759"/>
      <c r="I393" s="759"/>
      <c r="J393" s="759"/>
      <c r="K393" s="759"/>
    </row>
    <row r="394" spans="1:11" s="1" customFormat="1" x14ac:dyDescent="0.25">
      <c r="B394" s="510"/>
      <c r="C394" s="510"/>
      <c r="D394" s="510"/>
      <c r="E394" s="510"/>
      <c r="F394" s="510"/>
      <c r="G394" s="510"/>
      <c r="H394" s="510"/>
      <c r="I394" s="510"/>
      <c r="J394" s="510"/>
      <c r="K394" s="510"/>
    </row>
    <row r="395" spans="1:11" s="1" customFormat="1" x14ac:dyDescent="0.25">
      <c r="B395" s="752" t="s">
        <v>393</v>
      </c>
      <c r="C395" s="752"/>
      <c r="D395" s="752"/>
      <c r="E395" s="752"/>
      <c r="F395" s="752"/>
      <c r="G395" s="752"/>
      <c r="H395" s="752"/>
      <c r="I395" s="752"/>
      <c r="J395" s="752"/>
      <c r="K395" s="752"/>
    </row>
    <row r="396" spans="1:11" s="1" customFormat="1" x14ac:dyDescent="0.25">
      <c r="B396" s="752"/>
      <c r="C396" s="752"/>
      <c r="D396" s="752"/>
      <c r="E396" s="752"/>
      <c r="F396" s="752"/>
      <c r="G396" s="752"/>
      <c r="H396" s="752"/>
      <c r="I396" s="752"/>
      <c r="J396" s="752"/>
      <c r="K396" s="752"/>
    </row>
    <row r="397" spans="1:11" s="289" customFormat="1" x14ac:dyDescent="0.25">
      <c r="B397" s="507"/>
      <c r="C397" s="507"/>
      <c r="D397" s="507"/>
      <c r="E397" s="507"/>
      <c r="F397" s="507"/>
      <c r="G397" s="507"/>
      <c r="H397" s="507"/>
      <c r="I397" s="507"/>
      <c r="J397" s="507"/>
      <c r="K397" s="507"/>
    </row>
    <row r="398" spans="1:11" s="289" customFormat="1" x14ac:dyDescent="0.25">
      <c r="B398" s="514" t="s">
        <v>392</v>
      </c>
      <c r="C398" s="514"/>
      <c r="D398" s="514"/>
      <c r="E398" s="514"/>
      <c r="F398" s="514"/>
      <c r="G398" s="514"/>
      <c r="H398" s="514"/>
      <c r="I398" s="514"/>
      <c r="J398" s="514"/>
      <c r="K398" s="514"/>
    </row>
    <row r="399" spans="1:11" s="289" customFormat="1" x14ac:dyDescent="0.25">
      <c r="B399" s="507"/>
      <c r="C399" s="507"/>
      <c r="D399" s="507"/>
      <c r="E399" s="507"/>
      <c r="F399" s="507"/>
      <c r="G399" s="507"/>
      <c r="H399" s="507"/>
      <c r="I399" s="507"/>
      <c r="J399" s="507"/>
      <c r="K399" s="507"/>
    </row>
    <row r="400" spans="1:11" s="289" customFormat="1" x14ac:dyDescent="0.25">
      <c r="B400" s="752" t="s">
        <v>412</v>
      </c>
      <c r="C400" s="752"/>
      <c r="D400" s="752"/>
      <c r="E400" s="752"/>
      <c r="F400" s="752"/>
      <c r="G400" s="752"/>
      <c r="H400" s="752"/>
      <c r="I400" s="752"/>
      <c r="J400" s="752"/>
      <c r="K400" s="752"/>
    </row>
    <row r="401" spans="1:11" s="289" customFormat="1" x14ac:dyDescent="0.25">
      <c r="B401" s="752"/>
      <c r="C401" s="752"/>
      <c r="D401" s="752"/>
      <c r="E401" s="752"/>
      <c r="F401" s="752"/>
      <c r="G401" s="752"/>
      <c r="H401" s="752"/>
      <c r="I401" s="752"/>
      <c r="J401" s="752"/>
      <c r="K401" s="752"/>
    </row>
    <row r="402" spans="1:11" s="289" customFormat="1" ht="6" customHeight="1" x14ac:dyDescent="0.25">
      <c r="B402" s="476"/>
      <c r="C402" s="476"/>
      <c r="D402" s="476"/>
      <c r="E402" s="476"/>
      <c r="F402" s="476"/>
      <c r="G402" s="476"/>
      <c r="H402" s="476"/>
      <c r="I402" s="476"/>
      <c r="J402" s="476"/>
      <c r="K402" s="476"/>
    </row>
    <row r="403" spans="1:11" s="289" customFormat="1" x14ac:dyDescent="0.2">
      <c r="A403" s="207"/>
      <c r="B403" s="207"/>
      <c r="C403" s="235"/>
      <c r="D403" s="234"/>
      <c r="E403" s="207"/>
      <c r="F403" s="207"/>
      <c r="G403" s="207"/>
      <c r="H403" s="233"/>
      <c r="I403" s="757" t="s">
        <v>311</v>
      </c>
      <c r="J403" s="757"/>
      <c r="K403" s="757"/>
    </row>
    <row r="404" spans="1:11" s="1" customFormat="1" x14ac:dyDescent="0.2">
      <c r="A404" s="232"/>
      <c r="B404" s="196"/>
      <c r="C404" s="207"/>
      <c r="D404" s="207"/>
      <c r="E404" s="207"/>
      <c r="F404" s="207"/>
      <c r="G404" s="207"/>
      <c r="H404" s="231"/>
      <c r="I404" s="483" t="s">
        <v>491</v>
      </c>
      <c r="J404" s="483"/>
      <c r="K404" s="483" t="s">
        <v>491</v>
      </c>
    </row>
    <row r="405" spans="1:11" s="196" customFormat="1" x14ac:dyDescent="0.2">
      <c r="A405" s="230">
        <f>A382+0.1</f>
        <v>12.1</v>
      </c>
      <c r="B405" s="484" t="s">
        <v>327</v>
      </c>
      <c r="C405" s="207"/>
      <c r="D405" s="207"/>
      <c r="E405" s="207"/>
      <c r="F405" s="207"/>
      <c r="G405" s="207"/>
      <c r="H405" s="231"/>
      <c r="I405" s="215">
        <v>2022</v>
      </c>
      <c r="J405" s="215"/>
      <c r="K405" s="215">
        <v>2021</v>
      </c>
    </row>
    <row r="406" spans="1:11" s="1" customFormat="1" x14ac:dyDescent="0.2">
      <c r="C406" s="207"/>
      <c r="D406" s="207"/>
      <c r="E406" s="207"/>
      <c r="F406" s="207"/>
      <c r="G406" s="207"/>
      <c r="H406" s="229"/>
      <c r="I406" s="773" t="s">
        <v>326</v>
      </c>
      <c r="J406" s="773"/>
      <c r="K406" s="773"/>
    </row>
    <row r="407" spans="1:11" s="1" customFormat="1" x14ac:dyDescent="0.2">
      <c r="A407" s="222"/>
      <c r="B407" s="305" t="s">
        <v>328</v>
      </c>
      <c r="C407" s="211"/>
      <c r="D407" s="211"/>
      <c r="E407" s="207"/>
      <c r="F407" s="207"/>
      <c r="G407" s="207"/>
      <c r="H407" s="196"/>
      <c r="I407" s="204"/>
      <c r="J407" s="204"/>
      <c r="K407" s="196"/>
    </row>
    <row r="408" spans="1:11" s="1" customFormat="1" x14ac:dyDescent="0.2">
      <c r="A408" s="222"/>
      <c r="B408" s="228" t="s">
        <v>90</v>
      </c>
      <c r="C408" s="211"/>
      <c r="D408" s="211"/>
      <c r="E408" s="207"/>
      <c r="F408" s="207"/>
      <c r="G408" s="207"/>
      <c r="H408" s="204"/>
      <c r="I408" s="204">
        <f>SUM(TB!F104:F105)/1000</f>
        <v>9698.7939999999999</v>
      </c>
      <c r="J408" s="204"/>
      <c r="K408" s="204">
        <v>2854.6509999999998</v>
      </c>
    </row>
    <row r="409" spans="1:11" s="1" customFormat="1" x14ac:dyDescent="0.2">
      <c r="A409" s="222"/>
      <c r="B409" s="228" t="s">
        <v>485</v>
      </c>
      <c r="C409" s="211"/>
      <c r="D409" s="211"/>
      <c r="E409" s="207"/>
      <c r="F409" s="207"/>
      <c r="G409" s="207"/>
      <c r="H409" s="204"/>
      <c r="I409" s="204">
        <f>SUM(TB!K109)</f>
        <v>1044</v>
      </c>
      <c r="J409" s="204"/>
      <c r="K409" s="204">
        <v>915</v>
      </c>
    </row>
    <row r="410" spans="1:11" s="555" customFormat="1" x14ac:dyDescent="0.2">
      <c r="A410" s="222"/>
      <c r="B410" s="228" t="s">
        <v>627</v>
      </c>
      <c r="C410" s="235"/>
      <c r="D410" s="235"/>
      <c r="H410" s="204"/>
      <c r="I410" s="204">
        <f>+IS!E35</f>
        <v>2147</v>
      </c>
      <c r="J410" s="204"/>
      <c r="K410" s="204">
        <v>0</v>
      </c>
    </row>
    <row r="411" spans="1:11" s="1" customFormat="1" ht="9.9499999999999993" customHeight="1" x14ac:dyDescent="0.2">
      <c r="A411" s="222"/>
      <c r="B411" s="224"/>
      <c r="C411" s="211"/>
      <c r="D411" s="211"/>
      <c r="E411" s="207"/>
      <c r="F411" s="207"/>
      <c r="G411" s="207"/>
      <c r="H411" s="204"/>
      <c r="I411" s="204"/>
      <c r="J411" s="204"/>
      <c r="K411" s="204"/>
    </row>
    <row r="412" spans="1:11" s="1" customFormat="1" x14ac:dyDescent="0.2">
      <c r="A412" s="222"/>
      <c r="B412" s="220" t="s">
        <v>88</v>
      </c>
      <c r="C412" s="211"/>
      <c r="D412" s="211"/>
      <c r="E412" s="207"/>
      <c r="F412" s="207"/>
      <c r="G412" s="207"/>
      <c r="H412" s="204"/>
      <c r="I412" s="204"/>
      <c r="J412" s="204"/>
      <c r="K412" s="204"/>
    </row>
    <row r="413" spans="1:11" s="1" customFormat="1" ht="9.9499999999999993" customHeight="1" x14ac:dyDescent="0.2">
      <c r="A413" s="222"/>
      <c r="B413" s="220"/>
      <c r="C413" s="211"/>
      <c r="D413" s="211"/>
      <c r="E413" s="207"/>
      <c r="F413" s="207"/>
      <c r="G413" s="207"/>
      <c r="H413" s="204"/>
      <c r="I413" s="204"/>
      <c r="J413" s="204"/>
      <c r="K413" s="204"/>
    </row>
    <row r="414" spans="1:11" s="1" customFormat="1" x14ac:dyDescent="0.2">
      <c r="A414" s="208"/>
      <c r="B414" s="210" t="s">
        <v>87</v>
      </c>
      <c r="C414" s="207"/>
      <c r="D414" s="207"/>
      <c r="E414" s="207"/>
      <c r="F414" s="207"/>
      <c r="G414" s="207"/>
      <c r="H414" s="204"/>
      <c r="I414" s="204"/>
      <c r="J414" s="204"/>
      <c r="K414" s="204"/>
    </row>
    <row r="415" spans="1:11" s="1" customFormat="1" x14ac:dyDescent="0.2">
      <c r="A415" s="208"/>
      <c r="B415" s="219" t="s">
        <v>48</v>
      </c>
      <c r="C415" s="207"/>
      <c r="D415" s="207"/>
      <c r="E415" s="207"/>
      <c r="F415" s="207"/>
      <c r="G415" s="207"/>
      <c r="H415" s="204"/>
      <c r="I415" s="209">
        <f>TB!L88+TB!L87+TB!L86</f>
        <v>326</v>
      </c>
      <c r="J415" s="204"/>
      <c r="K415" s="209">
        <v>408</v>
      </c>
    </row>
    <row r="416" spans="1:11" s="1" customFormat="1" x14ac:dyDescent="0.2">
      <c r="A416" s="208"/>
      <c r="B416" s="219" t="s">
        <v>91</v>
      </c>
      <c r="C416" s="207"/>
      <c r="D416" s="207"/>
      <c r="E416" s="207"/>
      <c r="F416" s="207"/>
      <c r="G416" s="207"/>
      <c r="H416" s="204"/>
      <c r="I416" s="142">
        <f>TB!M125</f>
        <v>20</v>
      </c>
      <c r="J416" s="204"/>
      <c r="K416" s="142">
        <v>10</v>
      </c>
    </row>
    <row r="417" spans="1:11" s="1" customFormat="1" ht="9.9499999999999993" customHeight="1" x14ac:dyDescent="0.2">
      <c r="A417" s="208"/>
      <c r="B417" s="219"/>
      <c r="C417" s="207"/>
      <c r="D417" s="207"/>
      <c r="E417" s="207"/>
      <c r="F417" s="207"/>
      <c r="G417" s="207"/>
      <c r="H417" s="204"/>
      <c r="I417" s="142"/>
      <c r="J417" s="204"/>
      <c r="K417" s="142"/>
    </row>
    <row r="418" spans="1:11" s="1" customFormat="1" x14ac:dyDescent="0.2">
      <c r="A418" s="208"/>
      <c r="B418" s="212" t="s">
        <v>712</v>
      </c>
      <c r="C418" s="207"/>
      <c r="D418" s="207"/>
      <c r="E418" s="207"/>
      <c r="F418" s="207"/>
      <c r="G418" s="207"/>
      <c r="H418" s="204"/>
      <c r="I418" s="209"/>
      <c r="J418" s="204"/>
      <c r="K418" s="209"/>
    </row>
    <row r="419" spans="1:11" s="1" customFormat="1" x14ac:dyDescent="0.2">
      <c r="A419" s="208"/>
      <c r="B419" s="225" t="s">
        <v>90</v>
      </c>
      <c r="C419" s="207"/>
      <c r="D419" s="207"/>
      <c r="E419" s="207"/>
      <c r="F419" s="207"/>
      <c r="G419" s="207"/>
      <c r="H419" s="204"/>
      <c r="I419" s="142">
        <f>TB!K108+TB!K107</f>
        <v>2531</v>
      </c>
      <c r="J419" s="204"/>
      <c r="K419" s="142">
        <v>761</v>
      </c>
    </row>
    <row r="420" spans="1:11" s="289" customFormat="1" ht="9.9499999999999993" customHeight="1" x14ac:dyDescent="0.2">
      <c r="A420" s="208"/>
      <c r="B420" s="225"/>
      <c r="H420" s="204"/>
      <c r="I420" s="142"/>
      <c r="J420" s="204"/>
      <c r="K420" s="142"/>
    </row>
    <row r="421" spans="1:11" s="289" customFormat="1" x14ac:dyDescent="0.2">
      <c r="A421" s="208"/>
      <c r="B421" s="220" t="s">
        <v>379</v>
      </c>
      <c r="H421" s="204"/>
      <c r="I421" s="142"/>
      <c r="J421" s="204"/>
      <c r="K421" s="142"/>
    </row>
    <row r="422" spans="1:11" s="289" customFormat="1" x14ac:dyDescent="0.2">
      <c r="A422" s="208"/>
      <c r="B422" s="225" t="s">
        <v>413</v>
      </c>
      <c r="H422" s="204"/>
      <c r="I422" s="142">
        <v>71</v>
      </c>
      <c r="J422" s="204"/>
      <c r="K422" s="142">
        <v>0</v>
      </c>
    </row>
    <row r="423" spans="1:11" s="289" customFormat="1" x14ac:dyDescent="0.2">
      <c r="A423" s="208"/>
      <c r="B423" s="225"/>
      <c r="H423" s="204"/>
      <c r="I423" s="142"/>
      <c r="J423" s="204"/>
      <c r="K423" s="142"/>
    </row>
    <row r="424" spans="1:11" s="320" customFormat="1" ht="11.25" x14ac:dyDescent="0.25">
      <c r="A424" s="511" t="s">
        <v>82</v>
      </c>
      <c r="B424" s="775" t="s">
        <v>414</v>
      </c>
      <c r="C424" s="775"/>
      <c r="D424" s="775"/>
      <c r="E424" s="775"/>
      <c r="F424" s="775"/>
      <c r="G424" s="775"/>
      <c r="H424" s="775"/>
      <c r="I424" s="775"/>
      <c r="J424" s="775"/>
      <c r="K424" s="775"/>
    </row>
    <row r="425" spans="1:11" s="320" customFormat="1" ht="11.25" x14ac:dyDescent="0.25">
      <c r="A425" s="511"/>
      <c r="B425" s="775"/>
      <c r="C425" s="775"/>
      <c r="D425" s="775"/>
      <c r="E425" s="775"/>
      <c r="F425" s="775"/>
      <c r="G425" s="775"/>
      <c r="H425" s="775"/>
      <c r="I425" s="775"/>
      <c r="J425" s="775"/>
      <c r="K425" s="775"/>
    </row>
    <row r="426" spans="1:11" s="320" customFormat="1" ht="11.25" x14ac:dyDescent="0.2">
      <c r="A426" s="512"/>
      <c r="B426" s="775"/>
      <c r="C426" s="775"/>
      <c r="D426" s="775"/>
      <c r="E426" s="775"/>
      <c r="F426" s="775"/>
      <c r="G426" s="775"/>
      <c r="H426" s="775"/>
      <c r="I426" s="775"/>
      <c r="J426" s="775"/>
      <c r="K426" s="775"/>
    </row>
    <row r="427" spans="1:11" s="289" customFormat="1" x14ac:dyDescent="0.2">
      <c r="A427" s="208"/>
      <c r="B427" s="225"/>
      <c r="H427" s="204"/>
      <c r="I427" s="142"/>
      <c r="J427" s="204"/>
      <c r="K427" s="142"/>
    </row>
    <row r="428" spans="1:11" s="289" customFormat="1" x14ac:dyDescent="0.2">
      <c r="A428" s="222"/>
      <c r="B428" s="223"/>
      <c r="C428" s="223"/>
      <c r="D428" s="223"/>
      <c r="E428" s="223"/>
      <c r="F428" s="223"/>
      <c r="G428" s="223"/>
      <c r="H428" s="204"/>
      <c r="I428" s="277" t="s">
        <v>20</v>
      </c>
      <c r="J428" s="216"/>
      <c r="K428" s="215" t="s">
        <v>19</v>
      </c>
    </row>
    <row r="429" spans="1:11" s="1" customFormat="1" x14ac:dyDescent="0.2">
      <c r="A429" s="455">
        <f>A405+0.1</f>
        <v>12.2</v>
      </c>
      <c r="B429" s="456" t="s">
        <v>418</v>
      </c>
      <c r="C429" s="211"/>
      <c r="D429" s="211"/>
      <c r="E429" s="214"/>
      <c r="F429" s="214"/>
      <c r="G429" s="205"/>
      <c r="H429" s="213"/>
      <c r="I429" s="483" t="s">
        <v>491</v>
      </c>
      <c r="J429" s="218"/>
      <c r="K429" s="217" t="s">
        <v>21</v>
      </c>
    </row>
    <row r="430" spans="1:11" s="1" customFormat="1" x14ac:dyDescent="0.2">
      <c r="A430" s="196"/>
      <c r="B430" s="196"/>
      <c r="C430" s="211"/>
      <c r="D430" s="211"/>
      <c r="E430" s="214"/>
      <c r="F430" s="214"/>
      <c r="G430" s="205"/>
      <c r="H430" s="213"/>
      <c r="I430" s="215">
        <v>2022</v>
      </c>
      <c r="J430" s="216"/>
      <c r="K430" s="215">
        <v>2021</v>
      </c>
    </row>
    <row r="431" spans="1:11" s="1" customFormat="1" x14ac:dyDescent="0.2">
      <c r="B431" s="212" t="s">
        <v>11</v>
      </c>
      <c r="C431" s="235"/>
      <c r="D431" s="235"/>
      <c r="E431" s="214"/>
      <c r="F431" s="214"/>
      <c r="G431" s="205"/>
      <c r="H431" s="213"/>
      <c r="I431" s="773" t="s">
        <v>17</v>
      </c>
      <c r="J431" s="773"/>
      <c r="K431" s="773"/>
    </row>
    <row r="432" spans="1:11" s="1" customFormat="1" x14ac:dyDescent="0.2">
      <c r="A432" s="196"/>
      <c r="B432" s="196"/>
      <c r="C432" s="206"/>
      <c r="D432" s="206"/>
      <c r="E432" s="214"/>
      <c r="F432" s="214"/>
      <c r="G432" s="205"/>
      <c r="H432" s="457"/>
      <c r="I432" s="457"/>
      <c r="J432" s="457"/>
      <c r="K432" s="205"/>
    </row>
    <row r="433" spans="1:11" s="1" customFormat="1" x14ac:dyDescent="0.2">
      <c r="A433" s="208"/>
      <c r="B433" s="212" t="s">
        <v>89</v>
      </c>
      <c r="C433" s="206"/>
      <c r="D433" s="206"/>
      <c r="E433" s="214"/>
      <c r="F433" s="214"/>
      <c r="G433" s="205"/>
      <c r="H433" s="457"/>
      <c r="I433" s="457"/>
      <c r="J433" s="457"/>
      <c r="K433" s="205"/>
    </row>
    <row r="434" spans="1:11" s="1" customFormat="1" x14ac:dyDescent="0.2">
      <c r="A434" s="208"/>
      <c r="B434" s="226" t="s">
        <v>86</v>
      </c>
      <c r="C434" s="206"/>
      <c r="D434" s="206"/>
      <c r="E434" s="205"/>
      <c r="F434" s="205"/>
      <c r="G434" s="205"/>
      <c r="H434" s="205"/>
      <c r="I434" s="204">
        <f>TB!M60</f>
        <v>496</v>
      </c>
      <c r="J434" s="204"/>
      <c r="K434" s="204">
        <v>193</v>
      </c>
    </row>
    <row r="435" spans="1:11" x14ac:dyDescent="0.2">
      <c r="A435" s="208"/>
      <c r="B435" s="226" t="s">
        <v>85</v>
      </c>
      <c r="C435" s="206"/>
      <c r="D435" s="206"/>
      <c r="E435" s="205"/>
      <c r="F435" s="205"/>
      <c r="G435" s="205"/>
      <c r="H435" s="205"/>
      <c r="I435" s="204">
        <f>TB!M62</f>
        <v>65</v>
      </c>
      <c r="J435" s="204"/>
      <c r="K435" s="204">
        <v>25</v>
      </c>
    </row>
    <row r="436" spans="1:11" x14ac:dyDescent="0.2">
      <c r="A436" s="208"/>
      <c r="B436" s="227" t="s">
        <v>323</v>
      </c>
      <c r="C436" s="206"/>
      <c r="D436" s="206"/>
      <c r="E436" s="205"/>
      <c r="F436" s="205"/>
      <c r="G436" s="205"/>
      <c r="H436" s="205"/>
      <c r="I436" s="204">
        <v>0</v>
      </c>
      <c r="J436" s="204"/>
      <c r="K436" s="204">
        <v>62</v>
      </c>
    </row>
    <row r="437" spans="1:11" s="235" customFormat="1" x14ac:dyDescent="0.2">
      <c r="A437" s="208"/>
      <c r="B437" s="227" t="s">
        <v>306</v>
      </c>
      <c r="C437" s="206"/>
      <c r="D437" s="206"/>
      <c r="E437" s="205"/>
      <c r="F437" s="205"/>
      <c r="G437" s="205"/>
      <c r="H437" s="205"/>
      <c r="I437" s="204">
        <f>TB!M61</f>
        <v>0</v>
      </c>
      <c r="J437" s="204"/>
      <c r="K437" s="204">
        <v>25</v>
      </c>
    </row>
    <row r="438" spans="1:11" x14ac:dyDescent="0.2">
      <c r="A438" s="208"/>
      <c r="B438" s="120"/>
      <c r="C438" s="206"/>
      <c r="D438" s="206"/>
      <c r="E438" s="214"/>
      <c r="F438" s="214"/>
      <c r="G438" s="205"/>
      <c r="H438" s="457"/>
      <c r="I438" s="457"/>
      <c r="J438" s="457"/>
      <c r="K438" s="205"/>
    </row>
    <row r="439" spans="1:11" x14ac:dyDescent="0.2">
      <c r="A439" s="208"/>
      <c r="B439" s="220" t="s">
        <v>88</v>
      </c>
      <c r="C439" s="206"/>
      <c r="D439" s="206"/>
      <c r="E439" s="214"/>
      <c r="F439" s="214"/>
      <c r="G439" s="205"/>
      <c r="H439" s="457"/>
      <c r="I439" s="457"/>
      <c r="J439" s="457"/>
      <c r="K439" s="205"/>
    </row>
    <row r="440" spans="1:11" x14ac:dyDescent="0.2">
      <c r="A440" s="208"/>
      <c r="B440" s="120"/>
      <c r="C440" s="206"/>
      <c r="D440" s="206"/>
      <c r="E440" s="214"/>
      <c r="F440" s="214"/>
      <c r="G440" s="205"/>
      <c r="H440" s="457"/>
      <c r="I440" s="457"/>
      <c r="J440" s="457"/>
      <c r="K440" s="205"/>
    </row>
    <row r="441" spans="1:11" x14ac:dyDescent="0.2">
      <c r="A441" s="208"/>
      <c r="B441" s="212" t="s">
        <v>87</v>
      </c>
      <c r="C441" s="206"/>
      <c r="D441" s="206"/>
      <c r="E441" s="214"/>
      <c r="F441" s="214"/>
      <c r="G441" s="205"/>
      <c r="H441" s="457"/>
      <c r="I441" s="457"/>
      <c r="J441" s="457"/>
      <c r="K441" s="205"/>
    </row>
    <row r="442" spans="1:11" x14ac:dyDescent="0.2">
      <c r="A442" s="208"/>
      <c r="B442" s="458" t="s">
        <v>394</v>
      </c>
      <c r="C442" s="206"/>
      <c r="D442" s="206"/>
      <c r="E442" s="214"/>
      <c r="F442" s="214"/>
      <c r="G442" s="205"/>
      <c r="H442" s="457"/>
      <c r="I442" s="459">
        <f>TB!$N$8</f>
        <v>5134</v>
      </c>
      <c r="J442" s="459"/>
      <c r="K442" s="205">
        <v>2747</v>
      </c>
    </row>
    <row r="443" spans="1:11" s="235" customFormat="1" x14ac:dyDescent="0.2">
      <c r="A443" s="208"/>
      <c r="B443" s="125"/>
      <c r="C443" s="289"/>
      <c r="D443" s="206"/>
      <c r="E443" s="205"/>
      <c r="F443" s="205"/>
      <c r="G443" s="205"/>
      <c r="H443" s="205"/>
      <c r="I443" s="204"/>
      <c r="J443" s="204"/>
      <c r="K443" s="204"/>
    </row>
    <row r="444" spans="1:11" s="235" customFormat="1" x14ac:dyDescent="0.2">
      <c r="A444" s="208"/>
      <c r="B444" s="212" t="s">
        <v>712</v>
      </c>
      <c r="C444" s="289"/>
      <c r="D444" s="206"/>
      <c r="E444" s="205"/>
      <c r="F444" s="205"/>
      <c r="G444" s="205"/>
      <c r="H444" s="205"/>
      <c r="I444" s="204"/>
      <c r="J444" s="204"/>
      <c r="K444" s="204"/>
    </row>
    <row r="445" spans="1:11" s="235" customFormat="1" x14ac:dyDescent="0.2">
      <c r="A445" s="208"/>
      <c r="B445" s="235" t="s">
        <v>86</v>
      </c>
      <c r="C445" s="289"/>
      <c r="D445" s="206"/>
      <c r="E445" s="205"/>
      <c r="F445" s="205"/>
      <c r="G445" s="205"/>
      <c r="H445" s="205"/>
      <c r="I445" s="204">
        <f>TB!M65</f>
        <v>313</v>
      </c>
      <c r="J445" s="204"/>
      <c r="K445" s="204">
        <v>73</v>
      </c>
    </row>
    <row r="446" spans="1:11" s="235" customFormat="1" x14ac:dyDescent="0.2">
      <c r="A446" s="208"/>
      <c r="B446" s="235" t="s">
        <v>85</v>
      </c>
      <c r="C446" s="289"/>
      <c r="D446" s="206"/>
      <c r="E446" s="205"/>
      <c r="F446" s="205"/>
      <c r="G446" s="205"/>
      <c r="H446" s="205"/>
      <c r="I446" s="204">
        <f>TB!M64</f>
        <v>41</v>
      </c>
      <c r="J446" s="204"/>
      <c r="K446" s="204">
        <v>9</v>
      </c>
    </row>
    <row r="447" spans="1:11" s="235" customFormat="1" x14ac:dyDescent="0.2">
      <c r="A447" s="208"/>
      <c r="C447" s="289"/>
      <c r="D447" s="206"/>
      <c r="E447" s="205"/>
      <c r="F447" s="205"/>
      <c r="G447" s="205"/>
      <c r="H447" s="205"/>
      <c r="I447" s="460"/>
      <c r="J447" s="204"/>
      <c r="K447" s="204"/>
    </row>
    <row r="448" spans="1:11" s="235" customFormat="1" hidden="1" x14ac:dyDescent="0.2">
      <c r="A448" s="208"/>
      <c r="B448" s="212" t="s">
        <v>84</v>
      </c>
      <c r="C448" s="289"/>
      <c r="D448" s="206"/>
      <c r="E448" s="205"/>
      <c r="F448" s="205"/>
      <c r="G448" s="205"/>
      <c r="H448" s="205"/>
      <c r="I448" s="460"/>
      <c r="J448" s="204"/>
      <c r="K448" s="204"/>
    </row>
    <row r="449" spans="1:12" hidden="1" x14ac:dyDescent="0.2">
      <c r="A449" s="208"/>
      <c r="B449" s="125" t="s">
        <v>83</v>
      </c>
      <c r="C449" s="289"/>
      <c r="D449" s="206"/>
      <c r="E449" s="205"/>
      <c r="F449" s="205"/>
      <c r="G449" s="205"/>
      <c r="H449" s="205"/>
      <c r="I449" s="209">
        <v>0</v>
      </c>
      <c r="J449" s="204"/>
      <c r="K449" s="204">
        <v>0</v>
      </c>
    </row>
    <row r="450" spans="1:12" hidden="1" x14ac:dyDescent="0.2">
      <c r="A450" s="208"/>
      <c r="B450" s="125"/>
      <c r="C450" s="289"/>
      <c r="D450" s="206"/>
      <c r="E450" s="205"/>
      <c r="F450" s="205"/>
      <c r="G450" s="205"/>
      <c r="H450" s="205"/>
      <c r="I450" s="460"/>
      <c r="J450" s="204"/>
      <c r="K450" s="204"/>
    </row>
    <row r="451" spans="1:12" s="207" customFormat="1" x14ac:dyDescent="0.25">
      <c r="A451" s="239">
        <f>A429+0.1</f>
        <v>12.299999999999999</v>
      </c>
      <c r="B451" s="238" t="s">
        <v>92</v>
      </c>
      <c r="C451" s="237"/>
      <c r="D451" s="237"/>
      <c r="E451" s="237"/>
      <c r="F451" s="237"/>
      <c r="G451" s="237"/>
      <c r="H451" s="237"/>
      <c r="I451" s="237"/>
      <c r="J451" s="237"/>
      <c r="K451" s="237"/>
    </row>
    <row r="452" spans="1:12" s="207" customFormat="1" x14ac:dyDescent="0.25">
      <c r="A452" s="46"/>
      <c r="B452" s="236"/>
      <c r="C452" s="236"/>
      <c r="D452" s="236"/>
      <c r="E452" s="236"/>
      <c r="F452" s="236"/>
      <c r="G452" s="236"/>
      <c r="H452" s="236"/>
      <c r="I452" s="236"/>
      <c r="J452" s="236"/>
      <c r="K452" s="236"/>
    </row>
    <row r="453" spans="1:12" s="207" customFormat="1" x14ac:dyDescent="0.25">
      <c r="A453" s="1"/>
      <c r="B453" s="236"/>
      <c r="C453" s="236"/>
      <c r="D453" s="236"/>
      <c r="E453" s="236"/>
      <c r="F453" s="236"/>
      <c r="G453" s="236"/>
      <c r="H453" s="236"/>
      <c r="I453" s="236"/>
      <c r="J453" s="236"/>
      <c r="K453" s="236"/>
    </row>
    <row r="454" spans="1:12" s="207" customFormat="1" x14ac:dyDescent="0.25">
      <c r="A454" s="1"/>
      <c r="B454" s="1"/>
      <c r="C454" s="1"/>
      <c r="D454" s="1"/>
      <c r="E454" s="1"/>
      <c r="F454" s="1"/>
      <c r="G454" s="1"/>
      <c r="H454" s="1"/>
      <c r="I454" s="1"/>
      <c r="J454" s="1"/>
      <c r="K454" s="1"/>
    </row>
    <row r="455" spans="1:12" s="207" customFormat="1" x14ac:dyDescent="0.25">
      <c r="A455" s="1"/>
      <c r="B455" s="1"/>
      <c r="C455" s="1"/>
      <c r="D455" s="1"/>
      <c r="E455" s="1"/>
      <c r="F455" s="1"/>
      <c r="G455" s="1"/>
      <c r="H455" s="1"/>
      <c r="I455" s="1"/>
      <c r="J455" s="1"/>
      <c r="K455" s="1"/>
    </row>
    <row r="456" spans="1:12" s="207" customFormat="1" x14ac:dyDescent="0.25">
      <c r="A456" s="1"/>
      <c r="B456" s="1"/>
      <c r="C456" s="1"/>
      <c r="D456" s="1"/>
      <c r="E456" s="1"/>
      <c r="F456" s="1"/>
      <c r="G456" s="1"/>
      <c r="H456" s="1"/>
      <c r="I456" s="1"/>
      <c r="J456" s="1"/>
      <c r="K456" s="1"/>
    </row>
    <row r="457" spans="1:12" s="207" customFormat="1" x14ac:dyDescent="0.25">
      <c r="A457" s="1"/>
      <c r="B457" s="1"/>
      <c r="C457" s="1"/>
      <c r="D457" s="1"/>
      <c r="E457" s="1"/>
      <c r="F457" s="1"/>
      <c r="G457" s="1"/>
      <c r="H457" s="1"/>
      <c r="I457" s="1"/>
      <c r="J457" s="1"/>
      <c r="K457" s="1"/>
    </row>
    <row r="458" spans="1:12" s="207" customFormat="1" x14ac:dyDescent="0.25">
      <c r="A458" s="1"/>
      <c r="B458" s="1"/>
      <c r="C458" s="1"/>
      <c r="D458" s="1"/>
      <c r="E458" s="1"/>
      <c r="F458" s="1"/>
      <c r="G458" s="1"/>
      <c r="H458" s="1"/>
      <c r="I458" s="1"/>
      <c r="J458" s="1"/>
      <c r="K458" s="1"/>
      <c r="L458" s="207" t="s">
        <v>270</v>
      </c>
    </row>
    <row r="459" spans="1:12" s="207" customFormat="1" x14ac:dyDescent="0.25">
      <c r="A459" s="1"/>
      <c r="B459" s="1"/>
      <c r="C459" s="1"/>
      <c r="D459" s="1"/>
      <c r="E459" s="1"/>
      <c r="F459" s="1"/>
      <c r="G459" s="1"/>
      <c r="H459" s="1"/>
      <c r="I459" s="1"/>
      <c r="J459" s="1"/>
      <c r="K459" s="1"/>
    </row>
    <row r="460" spans="1:12" s="289" customFormat="1" x14ac:dyDescent="0.25">
      <c r="A460" s="1"/>
      <c r="B460" s="1"/>
      <c r="C460" s="1"/>
      <c r="D460" s="1"/>
      <c r="E460" s="1"/>
      <c r="F460" s="1"/>
      <c r="G460" s="1"/>
      <c r="H460" s="1"/>
      <c r="I460" s="1"/>
      <c r="J460" s="1"/>
      <c r="K460" s="1"/>
    </row>
    <row r="461" spans="1:12" s="289" customFormat="1" x14ac:dyDescent="0.25">
      <c r="A461" s="1"/>
      <c r="B461" s="1"/>
      <c r="C461" s="1"/>
      <c r="D461" s="1"/>
      <c r="E461" s="1"/>
      <c r="F461" s="1"/>
      <c r="G461" s="1"/>
      <c r="H461" s="1"/>
      <c r="I461" s="1"/>
      <c r="J461" s="1"/>
      <c r="K461" s="1"/>
    </row>
    <row r="462" spans="1:12" s="289" customFormat="1" x14ac:dyDescent="0.25">
      <c r="A462" s="1"/>
      <c r="B462" s="1"/>
      <c r="C462" s="1"/>
      <c r="D462" s="1"/>
      <c r="E462" s="1"/>
      <c r="F462" s="1"/>
      <c r="G462" s="1"/>
      <c r="H462" s="1"/>
      <c r="I462" s="1"/>
      <c r="J462" s="1"/>
      <c r="K462" s="1"/>
    </row>
    <row r="463" spans="1:12" s="289" customFormat="1" x14ac:dyDescent="0.25">
      <c r="A463" s="1"/>
      <c r="B463" s="1"/>
      <c r="C463" s="1"/>
      <c r="D463" s="1"/>
      <c r="E463" s="1"/>
      <c r="F463" s="1"/>
      <c r="G463" s="1"/>
      <c r="H463" s="1"/>
      <c r="I463" s="1"/>
      <c r="J463" s="1"/>
      <c r="K463" s="1"/>
    </row>
    <row r="464" spans="1:12" s="207" customFormat="1" x14ac:dyDescent="0.25">
      <c r="A464" s="1"/>
      <c r="B464" s="1"/>
      <c r="C464" s="1"/>
      <c r="D464" s="1"/>
      <c r="E464" s="1"/>
      <c r="F464" s="1"/>
      <c r="G464" s="1"/>
      <c r="H464" s="1"/>
      <c r="I464" s="1"/>
      <c r="J464" s="1"/>
      <c r="K464" s="1"/>
    </row>
    <row r="465" spans="1:11" s="207" customFormat="1" x14ac:dyDescent="0.25">
      <c r="A465" s="1"/>
      <c r="B465" s="1"/>
      <c r="C465" s="1"/>
      <c r="D465" s="1"/>
      <c r="E465" s="1"/>
      <c r="F465" s="1"/>
      <c r="G465" s="1"/>
      <c r="H465" s="1"/>
      <c r="I465" s="555"/>
      <c r="J465" s="1"/>
      <c r="K465" s="1"/>
    </row>
    <row r="466" spans="1:11" s="207" customFormat="1" x14ac:dyDescent="0.25">
      <c r="A466" s="1"/>
      <c r="B466" s="1"/>
      <c r="C466" s="1"/>
      <c r="D466" s="1"/>
      <c r="E466" s="1"/>
      <c r="F466" s="1"/>
      <c r="G466" s="1"/>
      <c r="H466" s="1"/>
      <c r="I466" s="1"/>
      <c r="J466" s="1"/>
      <c r="K466" s="1"/>
    </row>
    <row r="467" spans="1:11" s="207" customFormat="1" x14ac:dyDescent="0.25">
      <c r="A467" s="1"/>
      <c r="B467" s="1"/>
      <c r="C467" s="1"/>
      <c r="D467" s="1"/>
      <c r="E467" s="1"/>
      <c r="F467" s="1"/>
      <c r="G467" s="1"/>
      <c r="H467" s="1"/>
      <c r="I467" s="1"/>
      <c r="J467" s="1"/>
      <c r="K467" s="1"/>
    </row>
    <row r="468" spans="1:11" s="207" customFormat="1" x14ac:dyDescent="0.25">
      <c r="A468" s="1"/>
      <c r="B468" s="1"/>
      <c r="C468" s="1"/>
      <c r="D468" s="1"/>
      <c r="E468" s="1"/>
      <c r="F468" s="1"/>
      <c r="G468" s="1"/>
      <c r="H468" s="1"/>
      <c r="I468" s="1"/>
      <c r="J468" s="1"/>
      <c r="K468" s="1"/>
    </row>
    <row r="469" spans="1:11" s="207" customFormat="1" x14ac:dyDescent="0.25">
      <c r="A469" s="1"/>
      <c r="B469" s="1"/>
      <c r="C469" s="1"/>
      <c r="D469" s="1"/>
      <c r="E469" s="1"/>
      <c r="F469" s="1"/>
      <c r="G469" s="1"/>
      <c r="H469" s="1"/>
      <c r="I469" s="1"/>
      <c r="J469" s="1"/>
      <c r="K469" s="1"/>
    </row>
    <row r="470" spans="1:11" s="207" customFormat="1" x14ac:dyDescent="0.25">
      <c r="A470" s="1"/>
      <c r="B470" s="1"/>
      <c r="C470" s="1"/>
      <c r="D470" s="1"/>
      <c r="E470" s="1"/>
      <c r="F470" s="1"/>
      <c r="G470" s="1"/>
      <c r="H470" s="1"/>
      <c r="I470" s="1"/>
      <c r="J470" s="1"/>
      <c r="K470" s="1"/>
    </row>
    <row r="471" spans="1:11" s="207" customFormat="1" x14ac:dyDescent="0.25">
      <c r="A471" s="1"/>
      <c r="B471" s="1"/>
      <c r="C471" s="1"/>
      <c r="D471" s="1"/>
      <c r="E471" s="1"/>
      <c r="F471" s="1"/>
      <c r="G471" s="1"/>
      <c r="H471" s="1"/>
      <c r="I471" s="1"/>
      <c r="J471" s="1"/>
      <c r="K471" s="1"/>
    </row>
    <row r="472" spans="1:11" s="223" customFormat="1" x14ac:dyDescent="0.25">
      <c r="A472" s="1"/>
      <c r="B472" s="1"/>
      <c r="C472" s="1"/>
      <c r="D472" s="1"/>
      <c r="E472" s="1"/>
      <c r="F472" s="1"/>
      <c r="G472" s="1"/>
      <c r="H472" s="1"/>
      <c r="I472" s="1"/>
      <c r="J472" s="1"/>
      <c r="K472" s="1"/>
    </row>
    <row r="473" spans="1:11" s="196" customFormat="1" x14ac:dyDescent="0.2">
      <c r="A473" s="1"/>
      <c r="B473" s="1"/>
      <c r="C473" s="1"/>
      <c r="D473" s="1"/>
      <c r="E473" s="1"/>
      <c r="F473" s="1"/>
      <c r="G473" s="1"/>
      <c r="H473" s="1"/>
      <c r="I473" s="1"/>
      <c r="J473" s="1"/>
      <c r="K473" s="1"/>
    </row>
    <row r="474" spans="1:11" s="196" customFormat="1" x14ac:dyDescent="0.2">
      <c r="A474" s="1"/>
      <c r="B474" s="1"/>
      <c r="C474" s="1"/>
      <c r="D474" s="1"/>
      <c r="E474" s="1"/>
      <c r="F474" s="1"/>
      <c r="G474" s="1"/>
      <c r="H474" s="1"/>
      <c r="I474" s="1"/>
      <c r="J474" s="1"/>
      <c r="K474" s="1"/>
    </row>
    <row r="475" spans="1:11" s="196" customFormat="1" x14ac:dyDescent="0.2">
      <c r="A475" s="1"/>
      <c r="B475" s="1"/>
      <c r="C475" s="1"/>
      <c r="D475" s="1"/>
      <c r="E475" s="1"/>
      <c r="F475" s="1"/>
      <c r="G475" s="1"/>
      <c r="H475" s="1"/>
      <c r="I475" s="1"/>
      <c r="J475" s="1"/>
      <c r="K475" s="1"/>
    </row>
    <row r="476" spans="1:11" s="196" customFormat="1" x14ac:dyDescent="0.2">
      <c r="A476" s="1"/>
      <c r="B476" s="1"/>
      <c r="C476" s="1"/>
      <c r="D476" s="1"/>
      <c r="E476" s="1"/>
      <c r="F476" s="1"/>
      <c r="G476" s="1"/>
      <c r="H476" s="1"/>
      <c r="I476" s="1"/>
      <c r="J476" s="1"/>
      <c r="K476" s="1"/>
    </row>
    <row r="477" spans="1:11" s="196" customFormat="1" x14ac:dyDescent="0.2">
      <c r="A477" s="1"/>
      <c r="B477" s="1"/>
      <c r="C477" s="1"/>
      <c r="D477" s="1"/>
      <c r="E477" s="1"/>
      <c r="F477" s="1"/>
      <c r="G477" s="1"/>
      <c r="H477" s="1"/>
      <c r="I477" s="1"/>
      <c r="J477" s="1"/>
      <c r="K477" s="1"/>
    </row>
    <row r="478" spans="1:11" s="196" customFormat="1" x14ac:dyDescent="0.2">
      <c r="A478" s="1"/>
      <c r="B478" s="1"/>
      <c r="C478" s="1"/>
      <c r="D478" s="1"/>
      <c r="E478" s="1"/>
      <c r="F478" s="1"/>
      <c r="G478" s="1"/>
      <c r="H478" s="1"/>
      <c r="I478" s="1"/>
      <c r="J478" s="1"/>
      <c r="K478" s="1"/>
    </row>
    <row r="479" spans="1:11" s="196" customFormat="1" x14ac:dyDescent="0.2">
      <c r="A479" s="1"/>
      <c r="B479" s="1"/>
      <c r="C479" s="1"/>
      <c r="D479" s="1"/>
      <c r="E479" s="1"/>
      <c r="F479" s="1"/>
      <c r="G479" s="1"/>
      <c r="H479" s="1"/>
      <c r="I479" s="1"/>
      <c r="J479" s="1"/>
      <c r="K479" s="1"/>
    </row>
    <row r="480" spans="1:11" s="196" customFormat="1" x14ac:dyDescent="0.2">
      <c r="A480" s="1"/>
      <c r="B480" s="1"/>
      <c r="C480" s="1"/>
      <c r="D480" s="1"/>
      <c r="E480" s="1"/>
      <c r="F480" s="1"/>
      <c r="G480" s="1"/>
      <c r="H480" s="1"/>
      <c r="I480" s="1"/>
      <c r="J480" s="1"/>
      <c r="K480" s="1"/>
    </row>
    <row r="481" spans="1:11" s="196" customFormat="1" x14ac:dyDescent="0.2">
      <c r="A481" s="1"/>
      <c r="B481" s="1"/>
      <c r="C481" s="1"/>
      <c r="D481" s="1"/>
      <c r="E481" s="1"/>
      <c r="F481" s="1"/>
      <c r="G481" s="1"/>
      <c r="H481" s="1"/>
      <c r="I481" s="1"/>
      <c r="J481" s="1"/>
      <c r="K481" s="1"/>
    </row>
    <row r="482" spans="1:11" s="196" customFormat="1" x14ac:dyDescent="0.2">
      <c r="A482" s="1"/>
      <c r="B482" s="1"/>
      <c r="C482" s="1"/>
      <c r="D482" s="1"/>
      <c r="E482" s="1"/>
      <c r="F482" s="1"/>
      <c r="G482" s="1"/>
      <c r="H482" s="1"/>
      <c r="I482" s="1"/>
      <c r="J482" s="1"/>
      <c r="K482" s="1"/>
    </row>
    <row r="483" spans="1:11" s="196" customFormat="1" x14ac:dyDescent="0.2">
      <c r="A483" s="1"/>
      <c r="B483" s="1"/>
      <c r="C483" s="1"/>
      <c r="D483" s="1"/>
      <c r="E483" s="1"/>
      <c r="F483" s="1"/>
      <c r="G483" s="1"/>
      <c r="H483" s="1"/>
      <c r="I483" s="1"/>
      <c r="J483" s="1"/>
      <c r="K483" s="1"/>
    </row>
    <row r="484" spans="1:11" s="196" customFormat="1" x14ac:dyDescent="0.2">
      <c r="A484" s="173"/>
      <c r="B484" s="173"/>
      <c r="C484" s="173"/>
      <c r="D484" s="173"/>
      <c r="E484" s="173"/>
      <c r="F484" s="173"/>
      <c r="G484" s="173"/>
      <c r="H484" s="173"/>
      <c r="I484" s="173"/>
      <c r="J484" s="173"/>
      <c r="K484" s="173"/>
    </row>
    <row r="485" spans="1:11" s="196" customFormat="1" x14ac:dyDescent="0.2">
      <c r="A485" s="173"/>
      <c r="B485" s="173"/>
      <c r="C485" s="173"/>
      <c r="D485" s="173"/>
      <c r="E485" s="173"/>
      <c r="F485" s="173"/>
      <c r="G485" s="173"/>
      <c r="H485" s="173"/>
      <c r="I485" s="173"/>
      <c r="J485" s="173"/>
      <c r="K485" s="173"/>
    </row>
    <row r="486" spans="1:11" s="196" customFormat="1" x14ac:dyDescent="0.2">
      <c r="A486" s="173"/>
      <c r="B486" s="173"/>
      <c r="C486" s="173"/>
      <c r="D486" s="173"/>
      <c r="E486" s="173"/>
      <c r="F486" s="173"/>
      <c r="G486" s="173"/>
      <c r="H486" s="173"/>
      <c r="I486" s="173"/>
      <c r="J486" s="173"/>
      <c r="K486" s="173"/>
    </row>
    <row r="487" spans="1:11" s="196" customFormat="1" x14ac:dyDescent="0.2">
      <c r="A487" s="173"/>
      <c r="B487" s="173"/>
      <c r="C487" s="173"/>
      <c r="D487" s="173"/>
      <c r="E487" s="173"/>
      <c r="F487" s="173"/>
      <c r="G487" s="173"/>
      <c r="H487" s="173"/>
      <c r="I487" s="173"/>
      <c r="J487" s="173"/>
      <c r="K487" s="173"/>
    </row>
    <row r="488" spans="1:11" s="196" customFormat="1" x14ac:dyDescent="0.2">
      <c r="A488" s="173"/>
      <c r="B488" s="173"/>
      <c r="C488" s="173"/>
      <c r="D488" s="173"/>
      <c r="E488" s="173"/>
      <c r="F488" s="173"/>
      <c r="G488" s="173"/>
      <c r="H488" s="173"/>
      <c r="I488" s="173"/>
      <c r="J488" s="173"/>
      <c r="K488" s="173"/>
    </row>
    <row r="489" spans="1:11" s="196" customFormat="1" x14ac:dyDescent="0.2">
      <c r="A489" s="173"/>
      <c r="B489" s="173"/>
      <c r="C489" s="173"/>
      <c r="D489" s="173"/>
      <c r="E489" s="173"/>
      <c r="F489" s="173"/>
      <c r="G489" s="173"/>
      <c r="H489" s="173"/>
      <c r="I489" s="173"/>
      <c r="J489" s="173"/>
      <c r="K489" s="173"/>
    </row>
    <row r="490" spans="1:11" s="196" customFormat="1" x14ac:dyDescent="0.2">
      <c r="A490" s="173"/>
      <c r="B490" s="173"/>
      <c r="C490" s="173"/>
      <c r="D490" s="173"/>
      <c r="E490" s="173"/>
      <c r="F490" s="173"/>
      <c r="G490" s="173"/>
      <c r="H490" s="173"/>
      <c r="I490" s="173"/>
      <c r="J490" s="173"/>
      <c r="K490" s="173"/>
    </row>
    <row r="491" spans="1:11" s="196" customFormat="1" x14ac:dyDescent="0.2">
      <c r="A491" s="173"/>
      <c r="B491" s="173"/>
      <c r="C491" s="173"/>
      <c r="D491" s="173"/>
      <c r="E491" s="173"/>
      <c r="F491" s="173"/>
      <c r="G491" s="173"/>
      <c r="H491" s="173"/>
      <c r="I491" s="173"/>
      <c r="J491" s="173"/>
      <c r="K491" s="173"/>
    </row>
    <row r="492" spans="1:11" s="196" customFormat="1" x14ac:dyDescent="0.2">
      <c r="A492" s="235"/>
      <c r="B492" s="235"/>
      <c r="C492" s="235"/>
      <c r="D492" s="235"/>
      <c r="E492" s="235"/>
      <c r="F492" s="235"/>
      <c r="G492" s="235"/>
      <c r="H492" s="235"/>
      <c r="I492" s="235"/>
      <c r="J492" s="235"/>
      <c r="K492" s="235"/>
    </row>
    <row r="493" spans="1:11" s="203" customFormat="1" x14ac:dyDescent="0.2">
      <c r="A493" s="235"/>
      <c r="B493" s="329"/>
      <c r="C493" s="235"/>
      <c r="D493" s="235"/>
      <c r="E493" s="235"/>
      <c r="F493" s="235"/>
      <c r="G493" s="235"/>
      <c r="H493" s="235"/>
      <c r="I493" s="235"/>
      <c r="J493" s="235"/>
      <c r="K493" s="235"/>
    </row>
    <row r="494" spans="1:11" s="203" customFormat="1" x14ac:dyDescent="0.2">
      <c r="A494" s="235"/>
      <c r="B494" s="235"/>
      <c r="C494" s="235"/>
      <c r="D494" s="235"/>
      <c r="E494" s="235"/>
      <c r="F494" s="235"/>
      <c r="G494" s="235"/>
      <c r="H494" s="235"/>
      <c r="I494" s="235"/>
      <c r="J494" s="235"/>
      <c r="K494" s="235"/>
    </row>
    <row r="495" spans="1:11" s="199" customFormat="1" x14ac:dyDescent="0.2">
      <c r="A495" s="202">
        <f>A451+0.7</f>
        <v>12.999999999999998</v>
      </c>
      <c r="B495" s="200" t="s">
        <v>81</v>
      </c>
      <c r="C495" s="197"/>
      <c r="D495" s="197"/>
      <c r="E495" s="197"/>
      <c r="F495" s="197"/>
      <c r="G495" s="197"/>
      <c r="H495" s="197"/>
      <c r="I495" s="197"/>
      <c r="J495" s="197"/>
      <c r="K495" s="197"/>
    </row>
    <row r="496" spans="1:11" s="199" customFormat="1" x14ac:dyDescent="0.2">
      <c r="A496" s="202"/>
      <c r="B496" s="200"/>
      <c r="C496" s="197"/>
      <c r="D496" s="197"/>
      <c r="E496" s="197"/>
      <c r="F496" s="197"/>
      <c r="G496" s="197"/>
      <c r="H496" s="197"/>
      <c r="I496" s="197"/>
      <c r="J496" s="197"/>
      <c r="K496" s="197"/>
    </row>
    <row r="497" spans="1:11" s="199" customFormat="1" x14ac:dyDescent="0.2">
      <c r="A497" s="202"/>
      <c r="B497" s="774" t="s">
        <v>519</v>
      </c>
      <c r="C497" s="774"/>
      <c r="D497" s="774"/>
      <c r="E497" s="774"/>
      <c r="F497" s="774"/>
      <c r="G497" s="774"/>
      <c r="H497" s="774"/>
      <c r="I497" s="774"/>
      <c r="J497" s="774"/>
      <c r="K497" s="774"/>
    </row>
    <row r="498" spans="1:11" s="199" customFormat="1" x14ac:dyDescent="0.2">
      <c r="A498" s="202"/>
      <c r="B498" s="774"/>
      <c r="C498" s="774"/>
      <c r="D498" s="774"/>
      <c r="E498" s="774"/>
      <c r="F498" s="774"/>
      <c r="G498" s="774"/>
      <c r="H498" s="774"/>
      <c r="I498" s="774"/>
      <c r="J498" s="774"/>
      <c r="K498" s="774"/>
    </row>
    <row r="499" spans="1:11" s="199" customFormat="1" x14ac:dyDescent="0.2">
      <c r="A499" s="202"/>
      <c r="B499" s="774"/>
      <c r="C499" s="774"/>
      <c r="D499" s="774"/>
      <c r="E499" s="774"/>
      <c r="F499" s="774"/>
      <c r="G499" s="774"/>
      <c r="H499" s="774"/>
      <c r="I499" s="774"/>
      <c r="J499" s="774"/>
      <c r="K499" s="774"/>
    </row>
    <row r="500" spans="1:11" s="199" customFormat="1" x14ac:dyDescent="0.2">
      <c r="A500" s="202"/>
      <c r="B500" s="513"/>
      <c r="C500" s="513"/>
      <c r="D500" s="513"/>
      <c r="E500" s="513"/>
      <c r="F500" s="15"/>
      <c r="G500" s="15"/>
      <c r="H500" s="15"/>
      <c r="I500" s="15"/>
      <c r="J500" s="513"/>
      <c r="K500" s="513"/>
    </row>
    <row r="501" spans="1:11" s="199" customFormat="1" x14ac:dyDescent="0.2">
      <c r="A501" s="202"/>
      <c r="B501" s="755" t="s">
        <v>520</v>
      </c>
      <c r="C501" s="755"/>
      <c r="D501" s="755"/>
      <c r="E501" s="755"/>
      <c r="F501" s="755"/>
      <c r="G501" s="755"/>
      <c r="H501" s="755"/>
      <c r="I501" s="755"/>
      <c r="J501" s="755"/>
      <c r="K501" s="755"/>
    </row>
    <row r="502" spans="1:11" s="199" customFormat="1" x14ac:dyDescent="0.2">
      <c r="A502" s="202"/>
      <c r="B502" s="755"/>
      <c r="C502" s="755"/>
      <c r="D502" s="755"/>
      <c r="E502" s="755"/>
      <c r="F502" s="755"/>
      <c r="G502" s="755"/>
      <c r="H502" s="755"/>
      <c r="I502" s="755"/>
      <c r="J502" s="755"/>
      <c r="K502" s="755"/>
    </row>
    <row r="503" spans="1:11" s="199" customFormat="1" x14ac:dyDescent="0.2">
      <c r="A503" s="202"/>
      <c r="B503" s="755"/>
      <c r="C503" s="755"/>
      <c r="D503" s="755"/>
      <c r="E503" s="755"/>
      <c r="F503" s="755"/>
      <c r="G503" s="755"/>
      <c r="H503" s="755"/>
      <c r="I503" s="755"/>
      <c r="J503" s="755"/>
      <c r="K503" s="755"/>
    </row>
    <row r="504" spans="1:11" s="199" customFormat="1" x14ac:dyDescent="0.2">
      <c r="A504" s="202"/>
      <c r="B504" s="638"/>
      <c r="C504" s="638"/>
      <c r="D504" s="638"/>
      <c r="E504" s="638"/>
      <c r="F504" s="638"/>
      <c r="G504" s="638"/>
      <c r="H504" s="638"/>
      <c r="I504" s="638"/>
      <c r="J504" s="638"/>
      <c r="K504" s="638"/>
    </row>
    <row r="505" spans="1:11" s="199" customFormat="1" x14ac:dyDescent="0.2">
      <c r="A505" s="202"/>
      <c r="B505" s="755" t="s">
        <v>521</v>
      </c>
      <c r="C505" s="755"/>
      <c r="D505" s="755"/>
      <c r="E505" s="755"/>
      <c r="F505" s="755"/>
      <c r="G505" s="755"/>
      <c r="H505" s="755"/>
      <c r="I505" s="755"/>
      <c r="J505" s="755"/>
      <c r="K505" s="755"/>
    </row>
    <row r="506" spans="1:11" s="199" customFormat="1" x14ac:dyDescent="0.2">
      <c r="A506" s="202"/>
      <c r="B506" s="638"/>
      <c r="C506" s="638"/>
      <c r="D506" s="638"/>
      <c r="E506" s="638"/>
      <c r="F506" s="638"/>
      <c r="G506" s="638"/>
      <c r="H506" s="638"/>
      <c r="I506" s="638"/>
      <c r="J506" s="638"/>
      <c r="K506" s="638"/>
    </row>
    <row r="507" spans="1:11" s="199" customFormat="1" x14ac:dyDescent="0.2">
      <c r="A507" s="202"/>
      <c r="B507" s="755" t="s">
        <v>522</v>
      </c>
      <c r="C507" s="755"/>
      <c r="D507" s="755"/>
      <c r="E507" s="755"/>
      <c r="F507" s="755"/>
      <c r="G507" s="755"/>
      <c r="H507" s="755"/>
      <c r="I507" s="755"/>
      <c r="J507" s="755"/>
      <c r="K507" s="755"/>
    </row>
    <row r="508" spans="1:11" s="199" customFormat="1" x14ac:dyDescent="0.2">
      <c r="A508" s="202"/>
      <c r="B508" s="638"/>
      <c r="C508" s="638"/>
      <c r="D508" s="638"/>
      <c r="E508" s="638"/>
      <c r="F508" s="638"/>
      <c r="G508" s="638"/>
      <c r="H508" s="638"/>
      <c r="I508" s="638"/>
      <c r="J508" s="638"/>
      <c r="K508" s="638"/>
    </row>
    <row r="509" spans="1:11" s="199" customFormat="1" ht="22.35" customHeight="1" x14ac:dyDescent="0.2">
      <c r="A509" s="202"/>
      <c r="B509" s="755" t="s">
        <v>523</v>
      </c>
      <c r="C509" s="755"/>
      <c r="D509" s="755"/>
      <c r="E509" s="755"/>
      <c r="F509" s="755"/>
      <c r="G509" s="755"/>
      <c r="H509" s="755"/>
      <c r="I509" s="755"/>
      <c r="J509" s="755"/>
      <c r="K509" s="755"/>
    </row>
    <row r="510" spans="1:11" s="199" customFormat="1" x14ac:dyDescent="0.2">
      <c r="A510" s="202"/>
      <c r="B510" s="638"/>
      <c r="C510" s="638"/>
      <c r="D510" s="638"/>
      <c r="E510" s="638"/>
      <c r="F510" s="638"/>
      <c r="G510" s="638"/>
      <c r="H510" s="638"/>
      <c r="I510" s="638"/>
      <c r="J510" s="638"/>
      <c r="K510" s="638"/>
    </row>
    <row r="511" spans="1:11" s="196" customFormat="1" x14ac:dyDescent="0.2">
      <c r="A511" s="198"/>
      <c r="B511" s="755" t="s">
        <v>524</v>
      </c>
      <c r="C511" s="755"/>
      <c r="D511" s="755"/>
      <c r="E511" s="755"/>
      <c r="F511" s="755"/>
      <c r="G511" s="755"/>
      <c r="H511" s="755"/>
      <c r="I511" s="755"/>
      <c r="J511" s="755"/>
      <c r="K511" s="755"/>
    </row>
    <row r="512" spans="1:11" s="196" customFormat="1" x14ac:dyDescent="0.2">
      <c r="A512" s="198"/>
      <c r="B512" s="638"/>
      <c r="C512" s="638"/>
      <c r="D512" s="638"/>
      <c r="E512" s="638"/>
      <c r="F512" s="638"/>
      <c r="G512" s="638"/>
      <c r="H512" s="638"/>
      <c r="I512" s="638"/>
      <c r="J512" s="638"/>
      <c r="K512" s="638"/>
    </row>
    <row r="513" spans="1:11" s="196" customFormat="1" x14ac:dyDescent="0.2">
      <c r="A513" s="198" t="s">
        <v>682</v>
      </c>
      <c r="B513" s="671" t="s">
        <v>671</v>
      </c>
      <c r="C513" s="654"/>
      <c r="D513" s="654"/>
      <c r="E513" s="672"/>
      <c r="F513" s="673"/>
      <c r="G513" s="672"/>
      <c r="H513" s="673"/>
      <c r="I513" s="672"/>
      <c r="J513" s="673"/>
      <c r="K513" s="672"/>
    </row>
    <row r="514" spans="1:11" s="196" customFormat="1" x14ac:dyDescent="0.2">
      <c r="A514" s="198"/>
      <c r="B514" s="555"/>
      <c r="C514" s="654"/>
      <c r="D514" s="654"/>
      <c r="E514" s="672"/>
      <c r="F514" s="673"/>
      <c r="G514" s="672"/>
      <c r="H514" s="673"/>
      <c r="I514" s="672"/>
      <c r="J514" s="673"/>
      <c r="K514" s="672"/>
    </row>
    <row r="515" spans="1:11" s="196" customFormat="1" x14ac:dyDescent="0.2">
      <c r="A515" s="198"/>
      <c r="B515" s="760" t="s">
        <v>672</v>
      </c>
      <c r="C515" s="760"/>
      <c r="D515" s="760"/>
      <c r="E515" s="760"/>
      <c r="F515" s="760"/>
      <c r="G515" s="760"/>
      <c r="H515" s="760"/>
      <c r="I515" s="760"/>
      <c r="J515" s="760"/>
      <c r="K515" s="760"/>
    </row>
    <row r="516" spans="1:11" s="196" customFormat="1" x14ac:dyDescent="0.2">
      <c r="A516" s="198"/>
      <c r="B516" s="760"/>
      <c r="C516" s="760"/>
      <c r="D516" s="760"/>
      <c r="E516" s="760"/>
      <c r="F516" s="760"/>
      <c r="G516" s="760"/>
      <c r="H516" s="760"/>
      <c r="I516" s="760"/>
      <c r="J516" s="760"/>
      <c r="K516" s="760"/>
    </row>
    <row r="517" spans="1:11" s="196" customFormat="1" x14ac:dyDescent="0.2">
      <c r="A517" s="198"/>
      <c r="B517" s="760"/>
      <c r="C517" s="760"/>
      <c r="D517" s="760"/>
      <c r="E517" s="760"/>
      <c r="F517" s="760"/>
      <c r="G517" s="760"/>
      <c r="H517" s="760"/>
      <c r="I517" s="760"/>
      <c r="J517" s="760"/>
      <c r="K517" s="760"/>
    </row>
    <row r="518" spans="1:11" s="196" customFormat="1" x14ac:dyDescent="0.2">
      <c r="A518" s="198"/>
      <c r="B518" s="760"/>
      <c r="C518" s="760"/>
      <c r="D518" s="760"/>
      <c r="E518" s="760"/>
      <c r="F518" s="760"/>
      <c r="G518" s="760"/>
      <c r="H518" s="760"/>
      <c r="I518" s="760"/>
      <c r="J518" s="760"/>
      <c r="K518" s="760"/>
    </row>
    <row r="519" spans="1:11" s="196" customFormat="1" x14ac:dyDescent="0.2">
      <c r="A519" s="198"/>
      <c r="B519" s="555"/>
      <c r="C519" s="654"/>
      <c r="D519" s="654"/>
      <c r="E519" s="672"/>
      <c r="F519" s="673"/>
      <c r="G519" s="672"/>
      <c r="H519" s="673"/>
      <c r="I519" s="672"/>
      <c r="J519" s="673"/>
      <c r="K519" s="672"/>
    </row>
    <row r="520" spans="1:11" s="196" customFormat="1" x14ac:dyDescent="0.2">
      <c r="A520" s="198"/>
      <c r="B520" s="761" t="s">
        <v>886</v>
      </c>
      <c r="C520" s="762"/>
      <c r="D520" s="762"/>
      <c r="E520" s="762"/>
      <c r="F520" s="762"/>
      <c r="G520" s="762"/>
      <c r="H520" s="762"/>
      <c r="I520" s="762"/>
      <c r="J520" s="762"/>
      <c r="K520" s="763"/>
    </row>
    <row r="521" spans="1:11" s="196" customFormat="1" x14ac:dyDescent="0.2">
      <c r="A521" s="198"/>
      <c r="B521" s="764" t="s">
        <v>673</v>
      </c>
      <c r="C521" s="765"/>
      <c r="D521" s="765"/>
      <c r="E521" s="765"/>
      <c r="F521" s="765"/>
      <c r="G521" s="765"/>
      <c r="H521" s="765"/>
      <c r="I521" s="765"/>
      <c r="J521" s="765"/>
      <c r="K521" s="766"/>
    </row>
    <row r="522" spans="1:11" s="196" customFormat="1" x14ac:dyDescent="0.2">
      <c r="A522" s="198"/>
      <c r="B522" s="767" t="s">
        <v>674</v>
      </c>
      <c r="C522" s="768"/>
      <c r="D522" s="674"/>
      <c r="E522" s="771" t="s">
        <v>675</v>
      </c>
      <c r="F522" s="675"/>
      <c r="G522" s="676" t="s">
        <v>676</v>
      </c>
      <c r="H522" s="677"/>
      <c r="I522" s="676" t="s">
        <v>677</v>
      </c>
      <c r="J522" s="678"/>
      <c r="K522" s="676" t="s">
        <v>70</v>
      </c>
    </row>
    <row r="523" spans="1:11" s="196" customFormat="1" x14ac:dyDescent="0.2">
      <c r="A523" s="198"/>
      <c r="B523" s="769"/>
      <c r="C523" s="770"/>
      <c r="D523" s="674"/>
      <c r="E523" s="772"/>
      <c r="F523" s="675"/>
      <c r="G523" s="679" t="s">
        <v>678</v>
      </c>
      <c r="H523" s="678"/>
      <c r="I523" s="679" t="s">
        <v>679</v>
      </c>
      <c r="J523" s="678"/>
      <c r="K523" s="679" t="s">
        <v>680</v>
      </c>
    </row>
    <row r="524" spans="1:11" s="196" customFormat="1" x14ac:dyDescent="0.2">
      <c r="A524" s="198"/>
      <c r="B524" s="680"/>
      <c r="C524" s="680"/>
      <c r="D524" s="680"/>
      <c r="E524" s="680"/>
      <c r="F524" s="680"/>
      <c r="G524" s="782" t="s">
        <v>681</v>
      </c>
      <c r="H524" s="782"/>
      <c r="I524" s="782"/>
      <c r="J524" s="782"/>
      <c r="K524" s="782"/>
    </row>
    <row r="525" spans="1:11" s="196" customFormat="1" x14ac:dyDescent="0.2">
      <c r="A525" s="198"/>
      <c r="B525" s="681"/>
      <c r="C525" s="681"/>
      <c r="D525" s="681"/>
      <c r="E525" s="681"/>
      <c r="F525" s="681"/>
      <c r="G525" s="682"/>
      <c r="H525" s="683"/>
      <c r="I525" s="684"/>
      <c r="J525" s="684"/>
      <c r="K525" s="682"/>
    </row>
    <row r="526" spans="1:11" s="196" customFormat="1" x14ac:dyDescent="0.2">
      <c r="A526" s="198"/>
      <c r="B526" s="783">
        <v>44453</v>
      </c>
      <c r="C526" s="783"/>
      <c r="D526" s="677"/>
      <c r="E526" s="686">
        <v>1.0028999999999999</v>
      </c>
      <c r="F526" s="687"/>
      <c r="G526" s="688">
        <f>45851371/1000</f>
        <v>45851.370999999999</v>
      </c>
      <c r="H526" s="689"/>
      <c r="I526" s="688">
        <f>ROUND(46064853/1000,0)</f>
        <v>46065</v>
      </c>
      <c r="J526" s="689"/>
      <c r="K526" s="689">
        <f>G526+I526</f>
        <v>91916.370999999999</v>
      </c>
    </row>
    <row r="527" spans="1:11" s="196" customFormat="1" x14ac:dyDescent="0.2">
      <c r="A527" s="198"/>
      <c r="B527" s="783">
        <v>44481</v>
      </c>
      <c r="C527" s="783"/>
      <c r="D527" s="677"/>
      <c r="E527" s="686">
        <v>0.31330000000000002</v>
      </c>
      <c r="F527" s="687"/>
      <c r="G527" s="688">
        <f>5891939/1000</f>
        <v>5891.9390000000003</v>
      </c>
      <c r="H527" s="689"/>
      <c r="I527" s="688">
        <f>ROUND(54820526/1000,0)</f>
        <v>54821</v>
      </c>
      <c r="J527" s="689"/>
      <c r="K527" s="689">
        <f>G527+I527</f>
        <v>60712.938999999998</v>
      </c>
    </row>
    <row r="528" spans="1:11" s="196" customFormat="1" x14ac:dyDescent="0.2">
      <c r="A528" s="198"/>
      <c r="B528" s="685"/>
      <c r="C528" s="685" t="s">
        <v>713</v>
      </c>
      <c r="D528" s="677"/>
      <c r="E528" s="686">
        <f>PAYOUT!T72</f>
        <v>1.8516138473016936</v>
      </c>
      <c r="F528" s="687"/>
      <c r="G528" s="688">
        <v>0</v>
      </c>
      <c r="H528" s="689"/>
      <c r="I528" s="688">
        <f>PAYOUT!D150</f>
        <v>307474.90227000014</v>
      </c>
      <c r="J528" s="689"/>
      <c r="K528" s="689">
        <f>G528+I528</f>
        <v>307474.90227000014</v>
      </c>
    </row>
    <row r="529" spans="1:11" s="196" customFormat="1" x14ac:dyDescent="0.2">
      <c r="A529" s="198"/>
      <c r="B529" s="685"/>
      <c r="C529" s="685" t="s">
        <v>714</v>
      </c>
      <c r="D529" s="677"/>
      <c r="E529" s="686">
        <f>+PAYOUT!T76</f>
        <v>0.39167858498683755</v>
      </c>
      <c r="F529" s="687"/>
      <c r="G529" s="688">
        <v>0</v>
      </c>
      <c r="H529" s="689"/>
      <c r="I529" s="688">
        <f>PAYOUT!H29</f>
        <v>81121.792400000006</v>
      </c>
      <c r="J529" s="689"/>
      <c r="K529" s="689">
        <f>G529+I529</f>
        <v>81121.792400000006</v>
      </c>
    </row>
    <row r="530" spans="1:11" s="196" customFormat="1" ht="12.75" thickBot="1" x14ac:dyDescent="0.25">
      <c r="A530" s="198"/>
      <c r="B530" s="687"/>
      <c r="C530" s="687"/>
      <c r="D530" s="687"/>
      <c r="E530" s="687"/>
      <c r="F530" s="687"/>
      <c r="G530" s="719">
        <f>SUM(G526:G529)</f>
        <v>51743.31</v>
      </c>
      <c r="H530" s="720"/>
      <c r="I530" s="719">
        <f>SUM(I526:I529)</f>
        <v>489482.69467000011</v>
      </c>
      <c r="J530" s="720"/>
      <c r="K530" s="719">
        <f>SUM(K526:K529)</f>
        <v>541226.00467000017</v>
      </c>
    </row>
    <row r="531" spans="1:11" s="196" customFormat="1" ht="12.75" thickTop="1" x14ac:dyDescent="0.2">
      <c r="A531" s="198"/>
      <c r="B531" s="655"/>
      <c r="C531" s="655"/>
      <c r="D531" s="655"/>
      <c r="E531" s="655"/>
      <c r="F531" s="655"/>
      <c r="G531" s="655"/>
      <c r="H531" s="655"/>
      <c r="I531" s="655"/>
      <c r="J531" s="655"/>
      <c r="K531" s="655"/>
    </row>
    <row r="532" spans="1:11" s="196" customFormat="1" x14ac:dyDescent="0.2">
      <c r="A532" s="198"/>
      <c r="B532" s="655"/>
      <c r="C532" s="655"/>
      <c r="D532" s="655"/>
      <c r="E532" s="655"/>
      <c r="F532" s="655"/>
      <c r="G532" s="655"/>
      <c r="H532" s="655"/>
      <c r="I532" s="655"/>
      <c r="J532" s="655"/>
      <c r="K532" s="655"/>
    </row>
    <row r="533" spans="1:11" s="196" customFormat="1" x14ac:dyDescent="0.2">
      <c r="A533" s="198"/>
      <c r="B533" s="655"/>
      <c r="C533" s="655"/>
      <c r="D533" s="655"/>
      <c r="E533" s="655"/>
      <c r="F533" s="655"/>
      <c r="G533" s="655"/>
      <c r="H533" s="655"/>
      <c r="I533" s="655"/>
      <c r="J533" s="655"/>
      <c r="K533" s="655"/>
    </row>
    <row r="534" spans="1:11" s="196" customFormat="1" x14ac:dyDescent="0.2">
      <c r="A534" s="198"/>
      <c r="B534" s="655"/>
      <c r="C534" s="655"/>
      <c r="D534" s="655"/>
      <c r="E534" s="655"/>
      <c r="F534" s="655"/>
      <c r="G534" s="655"/>
      <c r="H534" s="655"/>
      <c r="I534" s="655"/>
      <c r="J534" s="655"/>
      <c r="K534" s="655"/>
    </row>
    <row r="535" spans="1:11" s="196" customFormat="1" x14ac:dyDescent="0.2">
      <c r="A535" s="198"/>
      <c r="B535" s="655"/>
      <c r="C535" s="655"/>
      <c r="D535" s="655"/>
      <c r="E535" s="655"/>
      <c r="F535" s="655"/>
      <c r="G535" s="655"/>
      <c r="H535" s="655"/>
      <c r="I535" s="655"/>
      <c r="J535" s="655"/>
      <c r="K535" s="655"/>
    </row>
    <row r="536" spans="1:11" s="196" customFormat="1" x14ac:dyDescent="0.2">
      <c r="A536" s="198"/>
      <c r="B536" s="655"/>
      <c r="C536" s="655"/>
      <c r="D536" s="655"/>
      <c r="E536" s="655"/>
      <c r="F536" s="655"/>
      <c r="G536" s="655"/>
      <c r="H536" s="655"/>
      <c r="I536" s="655"/>
      <c r="J536" s="655"/>
      <c r="K536" s="655"/>
    </row>
    <row r="537" spans="1:11" s="196" customFormat="1" x14ac:dyDescent="0.2">
      <c r="A537" s="198"/>
      <c r="B537" s="655"/>
      <c r="C537" s="655"/>
      <c r="D537" s="655"/>
      <c r="E537" s="655"/>
      <c r="F537" s="655"/>
      <c r="G537" s="655"/>
      <c r="H537" s="655"/>
      <c r="I537" s="655"/>
      <c r="J537" s="655"/>
      <c r="K537" s="655"/>
    </row>
    <row r="538" spans="1:11" s="196" customFormat="1" x14ac:dyDescent="0.2">
      <c r="A538" s="198"/>
      <c r="B538" s="655"/>
      <c r="C538" s="655"/>
      <c r="D538" s="655"/>
      <c r="E538" s="655"/>
      <c r="F538" s="655"/>
      <c r="G538" s="655"/>
      <c r="H538" s="655"/>
      <c r="I538" s="655"/>
      <c r="J538" s="655"/>
      <c r="K538" s="655"/>
    </row>
    <row r="539" spans="1:11" s="196" customFormat="1" x14ac:dyDescent="0.2">
      <c r="A539" s="198"/>
      <c r="B539" s="655"/>
      <c r="C539" s="655"/>
      <c r="D539" s="655"/>
      <c r="E539" s="655"/>
      <c r="F539" s="655"/>
      <c r="G539" s="655"/>
      <c r="H539" s="655"/>
      <c r="I539" s="655"/>
      <c r="J539" s="655"/>
      <c r="K539" s="655"/>
    </row>
    <row r="540" spans="1:11" s="196" customFormat="1" x14ac:dyDescent="0.2">
      <c r="A540" s="198"/>
      <c r="B540" s="655"/>
      <c r="C540" s="655"/>
      <c r="D540" s="655"/>
      <c r="E540" s="655"/>
      <c r="F540" s="655"/>
      <c r="G540" s="655"/>
      <c r="H540" s="655"/>
      <c r="I540" s="655"/>
      <c r="J540" s="655"/>
      <c r="K540" s="655"/>
    </row>
    <row r="541" spans="1:11" s="196" customFormat="1" x14ac:dyDescent="0.2">
      <c r="A541" s="198"/>
      <c r="B541" s="655"/>
      <c r="C541" s="655"/>
      <c r="D541" s="655"/>
      <c r="E541" s="655"/>
      <c r="F541" s="655"/>
      <c r="G541" s="655"/>
      <c r="H541" s="655"/>
      <c r="I541" s="655"/>
      <c r="J541" s="655"/>
      <c r="K541" s="655"/>
    </row>
    <row r="542" spans="1:11" s="196" customFormat="1" x14ac:dyDescent="0.2">
      <c r="A542" s="198"/>
      <c r="B542" s="655"/>
      <c r="C542" s="655"/>
      <c r="D542" s="655"/>
      <c r="E542" s="655"/>
      <c r="F542" s="655"/>
      <c r="G542" s="655"/>
      <c r="H542" s="655"/>
      <c r="I542" s="655"/>
      <c r="J542" s="655"/>
      <c r="K542" s="655"/>
    </row>
    <row r="543" spans="1:11" s="196" customFormat="1" x14ac:dyDescent="0.2">
      <c r="A543" s="198"/>
      <c r="B543" s="655"/>
      <c r="C543" s="655"/>
      <c r="D543" s="655"/>
      <c r="E543" s="655"/>
      <c r="F543" s="655"/>
      <c r="G543" s="655"/>
      <c r="H543" s="655"/>
      <c r="I543" s="655"/>
      <c r="J543" s="655"/>
      <c r="K543" s="655"/>
    </row>
    <row r="544" spans="1:11" s="196" customFormat="1" x14ac:dyDescent="0.2">
      <c r="A544" s="198"/>
      <c r="B544" s="655"/>
      <c r="C544" s="655"/>
      <c r="D544" s="655"/>
      <c r="E544" s="655"/>
      <c r="F544" s="655"/>
      <c r="G544" s="655"/>
      <c r="H544" s="655"/>
      <c r="I544" s="655"/>
      <c r="J544" s="655"/>
      <c r="K544" s="655"/>
    </row>
    <row r="545" spans="1:11" s="196" customFormat="1" x14ac:dyDescent="0.2">
      <c r="A545" s="198"/>
      <c r="B545" s="655"/>
      <c r="C545" s="655"/>
      <c r="D545" s="655"/>
      <c r="E545" s="655"/>
      <c r="F545" s="655"/>
      <c r="G545" s="655"/>
      <c r="H545" s="655"/>
      <c r="I545" s="655"/>
      <c r="J545" s="655"/>
      <c r="K545" s="655"/>
    </row>
    <row r="546" spans="1:11" s="196" customFormat="1" x14ac:dyDescent="0.2">
      <c r="A546" s="198"/>
      <c r="B546" s="655"/>
      <c r="C546" s="655"/>
      <c r="D546" s="655"/>
      <c r="E546" s="655"/>
      <c r="F546" s="655"/>
      <c r="G546" s="655"/>
      <c r="H546" s="655"/>
      <c r="I546" s="655"/>
      <c r="J546" s="655"/>
      <c r="K546" s="655"/>
    </row>
    <row r="547" spans="1:11" s="196" customFormat="1" x14ac:dyDescent="0.2">
      <c r="A547" s="198"/>
      <c r="B547" s="655"/>
      <c r="C547" s="655"/>
      <c r="D547" s="655"/>
      <c r="E547" s="655"/>
      <c r="F547" s="655"/>
      <c r="G547" s="655"/>
      <c r="H547" s="655"/>
      <c r="I547" s="655"/>
      <c r="J547" s="655"/>
      <c r="K547" s="655"/>
    </row>
    <row r="548" spans="1:11" s="196" customFormat="1" x14ac:dyDescent="0.2">
      <c r="A548" s="198"/>
      <c r="B548" s="655"/>
      <c r="C548" s="655"/>
      <c r="D548" s="655"/>
      <c r="E548" s="655"/>
      <c r="F548" s="655"/>
      <c r="G548" s="655"/>
      <c r="H548" s="655"/>
      <c r="I548" s="655"/>
      <c r="J548" s="655"/>
      <c r="K548" s="655"/>
    </row>
    <row r="549" spans="1:11" s="196" customFormat="1" x14ac:dyDescent="0.2">
      <c r="A549" s="198"/>
      <c r="B549" s="655"/>
      <c r="C549" s="655"/>
      <c r="D549" s="655"/>
      <c r="E549" s="655"/>
      <c r="F549" s="655"/>
      <c r="G549" s="655"/>
      <c r="H549" s="655"/>
      <c r="I549" s="655"/>
      <c r="J549" s="655"/>
      <c r="K549" s="655"/>
    </row>
    <row r="550" spans="1:11" s="196" customFormat="1" x14ac:dyDescent="0.2">
      <c r="A550" s="198"/>
      <c r="B550" s="655"/>
      <c r="C550" s="655"/>
      <c r="D550" s="655"/>
      <c r="E550" s="655"/>
      <c r="F550" s="655"/>
      <c r="G550" s="655"/>
      <c r="H550" s="655"/>
      <c r="I550" s="655"/>
      <c r="J550" s="655"/>
      <c r="K550" s="655"/>
    </row>
    <row r="551" spans="1:11" s="196" customFormat="1" x14ac:dyDescent="0.2">
      <c r="A551" s="198"/>
      <c r="B551" s="655"/>
      <c r="C551" s="655"/>
      <c r="D551" s="655"/>
      <c r="E551" s="655"/>
      <c r="F551" s="655"/>
      <c r="G551" s="655"/>
      <c r="H551" s="655"/>
      <c r="I551" s="655"/>
      <c r="J551" s="655"/>
      <c r="K551" s="655"/>
    </row>
    <row r="552" spans="1:11" s="196" customFormat="1" x14ac:dyDescent="0.2">
      <c r="A552" s="198"/>
      <c r="B552" s="655"/>
      <c r="C552" s="655"/>
      <c r="D552" s="655"/>
      <c r="E552" s="655"/>
      <c r="F552" s="655"/>
      <c r="G552" s="655"/>
      <c r="H552" s="655"/>
      <c r="I552" s="655"/>
      <c r="J552" s="655"/>
      <c r="K552" s="655"/>
    </row>
    <row r="553" spans="1:11" s="196" customFormat="1" x14ac:dyDescent="0.2">
      <c r="A553" s="198"/>
      <c r="B553" s="655"/>
      <c r="C553" s="655"/>
      <c r="D553" s="655"/>
      <c r="E553" s="655"/>
      <c r="F553" s="655"/>
      <c r="G553" s="655"/>
      <c r="H553" s="655"/>
      <c r="I553" s="655"/>
      <c r="J553" s="655"/>
      <c r="K553" s="655"/>
    </row>
    <row r="554" spans="1:11" s="196" customFormat="1" x14ac:dyDescent="0.2">
      <c r="A554" s="198"/>
      <c r="B554" s="655"/>
      <c r="C554" s="655"/>
      <c r="D554" s="655"/>
      <c r="E554" s="655"/>
      <c r="F554" s="655"/>
      <c r="G554" s="655"/>
      <c r="H554" s="655"/>
      <c r="I554" s="655"/>
      <c r="J554" s="655"/>
      <c r="K554" s="655"/>
    </row>
    <row r="555" spans="1:11" s="196" customFormat="1" x14ac:dyDescent="0.2">
      <c r="A555" s="198"/>
      <c r="B555" s="655"/>
      <c r="C555" s="655"/>
      <c r="D555" s="655"/>
      <c r="E555" s="655"/>
      <c r="F555" s="655"/>
      <c r="G555" s="655"/>
      <c r="H555" s="655"/>
      <c r="I555" s="655"/>
      <c r="J555" s="655"/>
      <c r="K555" s="655"/>
    </row>
    <row r="556" spans="1:11" s="196" customFormat="1" x14ac:dyDescent="0.2">
      <c r="A556" s="198"/>
      <c r="B556" s="655"/>
      <c r="C556" s="655"/>
      <c r="D556" s="655"/>
      <c r="E556" s="655"/>
      <c r="F556" s="655"/>
      <c r="G556" s="655"/>
      <c r="H556" s="655"/>
      <c r="I556" s="655"/>
      <c r="J556" s="655"/>
      <c r="K556" s="655"/>
    </row>
    <row r="557" spans="1:11" s="196" customFormat="1" x14ac:dyDescent="0.2">
      <c r="A557" s="198"/>
      <c r="B557" s="655"/>
      <c r="C557" s="655"/>
      <c r="D557" s="655"/>
      <c r="E557" s="655"/>
      <c r="F557" s="655"/>
      <c r="G557" s="655"/>
      <c r="H557" s="655"/>
      <c r="I557" s="655"/>
      <c r="J557" s="655"/>
      <c r="K557" s="655"/>
    </row>
    <row r="558" spans="1:11" s="196" customFormat="1" x14ac:dyDescent="0.2">
      <c r="A558" s="198"/>
      <c r="B558" s="655"/>
      <c r="C558" s="655"/>
      <c r="D558" s="655"/>
      <c r="E558" s="655"/>
      <c r="F558" s="655"/>
      <c r="G558" s="655"/>
      <c r="H558" s="655"/>
      <c r="I558" s="655"/>
      <c r="J558" s="655"/>
      <c r="K558" s="655"/>
    </row>
    <row r="559" spans="1:11" s="196" customFormat="1" x14ac:dyDescent="0.2">
      <c r="A559" s="198"/>
      <c r="B559" s="655"/>
      <c r="C559" s="655"/>
      <c r="D559" s="655"/>
      <c r="E559" s="655"/>
      <c r="F559" s="655"/>
      <c r="G559" s="655"/>
      <c r="H559" s="655"/>
      <c r="I559" s="655"/>
      <c r="J559" s="655"/>
      <c r="K559" s="655"/>
    </row>
    <row r="560" spans="1:11" s="196" customFormat="1" x14ac:dyDescent="0.2">
      <c r="A560" s="198"/>
      <c r="B560" s="655"/>
      <c r="C560" s="655"/>
      <c r="D560" s="655"/>
      <c r="E560" s="655"/>
      <c r="F560" s="655"/>
      <c r="G560" s="655"/>
      <c r="H560" s="655"/>
      <c r="I560" s="655"/>
      <c r="J560" s="655"/>
      <c r="K560" s="655"/>
    </row>
    <row r="561" spans="1:11" s="196" customFormat="1" x14ac:dyDescent="0.2">
      <c r="A561" s="198"/>
      <c r="B561" s="655"/>
      <c r="C561" s="655"/>
      <c r="D561" s="655"/>
      <c r="E561" s="655"/>
      <c r="F561" s="655"/>
      <c r="G561" s="655"/>
      <c r="H561" s="655"/>
      <c r="I561" s="655"/>
      <c r="J561" s="655"/>
      <c r="K561" s="655"/>
    </row>
    <row r="562" spans="1:11" s="196" customFormat="1" x14ac:dyDescent="0.2">
      <c r="A562" s="198"/>
      <c r="B562" s="655"/>
      <c r="C562" s="655"/>
      <c r="D562" s="655"/>
      <c r="E562" s="655"/>
      <c r="F562" s="655"/>
      <c r="G562" s="655"/>
      <c r="H562" s="655"/>
      <c r="I562" s="655"/>
      <c r="J562" s="655"/>
      <c r="K562" s="655"/>
    </row>
    <row r="563" spans="1:11" s="196" customFormat="1" x14ac:dyDescent="0.2">
      <c r="A563" s="198"/>
      <c r="B563" s="655"/>
      <c r="C563" s="655"/>
      <c r="D563" s="655"/>
      <c r="E563" s="655"/>
      <c r="F563" s="655"/>
      <c r="G563" s="655"/>
      <c r="H563" s="655"/>
      <c r="I563" s="655"/>
      <c r="J563" s="655"/>
      <c r="K563" s="655"/>
    </row>
    <row r="564" spans="1:11" s="196" customFormat="1" x14ac:dyDescent="0.2">
      <c r="A564" s="198"/>
      <c r="B564" s="655"/>
      <c r="C564" s="655"/>
      <c r="D564" s="655"/>
      <c r="E564" s="655"/>
      <c r="F564" s="655"/>
      <c r="G564" s="655"/>
      <c r="H564" s="655"/>
      <c r="I564" s="655"/>
      <c r="J564" s="655"/>
      <c r="K564" s="655"/>
    </row>
    <row r="565" spans="1:11" s="196" customFormat="1" x14ac:dyDescent="0.2">
      <c r="A565" s="198"/>
      <c r="B565" s="655"/>
      <c r="C565" s="655"/>
      <c r="D565" s="655"/>
      <c r="E565" s="655"/>
      <c r="F565" s="655"/>
      <c r="G565" s="655"/>
      <c r="H565" s="655"/>
      <c r="I565" s="655"/>
      <c r="J565" s="655"/>
      <c r="K565" s="655"/>
    </row>
    <row r="566" spans="1:11" s="196" customFormat="1" x14ac:dyDescent="0.2">
      <c r="A566" s="198"/>
      <c r="B566" s="655"/>
      <c r="C566" s="655"/>
      <c r="D566" s="655"/>
      <c r="E566" s="655"/>
      <c r="F566" s="655"/>
      <c r="G566" s="655"/>
      <c r="H566" s="655"/>
      <c r="I566" s="655"/>
      <c r="J566" s="655"/>
      <c r="K566" s="655"/>
    </row>
    <row r="567" spans="1:11" s="196" customFormat="1" x14ac:dyDescent="0.2">
      <c r="A567" s="198"/>
      <c r="B567" s="655"/>
      <c r="C567" s="655"/>
      <c r="D567" s="655"/>
      <c r="E567" s="655"/>
      <c r="F567" s="655"/>
      <c r="G567" s="655"/>
      <c r="H567" s="655"/>
      <c r="I567" s="655"/>
      <c r="J567" s="655"/>
      <c r="K567" s="655"/>
    </row>
    <row r="568" spans="1:11" s="196" customFormat="1" x14ac:dyDescent="0.2">
      <c r="A568" s="198"/>
      <c r="B568" s="655"/>
      <c r="C568" s="655"/>
      <c r="D568" s="655"/>
      <c r="E568" s="655"/>
      <c r="F568" s="655"/>
      <c r="G568" s="655"/>
      <c r="H568" s="655"/>
      <c r="I568" s="655"/>
      <c r="J568" s="655"/>
      <c r="K568" s="655"/>
    </row>
    <row r="569" spans="1:11" s="196" customFormat="1" x14ac:dyDescent="0.2">
      <c r="A569" s="198"/>
      <c r="B569" s="655"/>
      <c r="C569" s="655"/>
      <c r="D569" s="655"/>
      <c r="E569" s="655"/>
      <c r="F569" s="655"/>
      <c r="G569" s="655"/>
      <c r="H569" s="655"/>
      <c r="I569" s="655"/>
      <c r="J569" s="655"/>
      <c r="K569" s="655"/>
    </row>
    <row r="570" spans="1:11" s="196" customFormat="1" x14ac:dyDescent="0.2">
      <c r="A570" s="198"/>
      <c r="B570" s="655"/>
      <c r="C570" s="655"/>
      <c r="D570" s="655"/>
      <c r="E570" s="655"/>
      <c r="F570" s="655"/>
      <c r="G570" s="655"/>
      <c r="H570" s="655"/>
      <c r="I570" s="655"/>
      <c r="J570" s="655"/>
      <c r="K570" s="655"/>
    </row>
    <row r="571" spans="1:11" s="196" customFormat="1" x14ac:dyDescent="0.2">
      <c r="A571" s="198"/>
      <c r="B571" s="655"/>
      <c r="C571" s="655"/>
      <c r="D571" s="655"/>
      <c r="E571" s="655"/>
      <c r="F571" s="655"/>
      <c r="G571" s="655"/>
      <c r="H571" s="655"/>
      <c r="I571" s="655"/>
      <c r="J571" s="655"/>
      <c r="K571" s="655"/>
    </row>
    <row r="572" spans="1:11" s="196" customFormat="1" x14ac:dyDescent="0.2">
      <c r="A572" s="198"/>
      <c r="B572" s="655"/>
      <c r="C572" s="655"/>
      <c r="D572" s="655"/>
      <c r="E572" s="655"/>
      <c r="F572" s="655"/>
      <c r="G572" s="655"/>
      <c r="H572" s="655"/>
      <c r="I572" s="655"/>
      <c r="J572" s="655"/>
      <c r="K572" s="655"/>
    </row>
    <row r="573" spans="1:11" s="196" customFormat="1" x14ac:dyDescent="0.2">
      <c r="A573" s="198"/>
      <c r="B573" s="655"/>
      <c r="C573" s="655"/>
      <c r="D573" s="655"/>
      <c r="E573" s="655"/>
      <c r="F573" s="655"/>
      <c r="G573" s="655"/>
      <c r="H573" s="655"/>
      <c r="I573" s="655"/>
      <c r="J573" s="655"/>
      <c r="K573" s="655"/>
    </row>
    <row r="574" spans="1:11" s="196" customFormat="1" x14ac:dyDescent="0.2">
      <c r="A574" s="198"/>
      <c r="B574" s="655"/>
      <c r="C574" s="655"/>
      <c r="D574" s="655"/>
      <c r="E574" s="655"/>
      <c r="F574" s="655"/>
      <c r="G574" s="655"/>
      <c r="H574" s="655"/>
      <c r="I574" s="655"/>
      <c r="J574" s="655"/>
      <c r="K574" s="655"/>
    </row>
    <row r="575" spans="1:11" s="196" customFormat="1" x14ac:dyDescent="0.2">
      <c r="A575" s="198"/>
      <c r="B575" s="655"/>
      <c r="C575" s="655"/>
      <c r="D575" s="655"/>
      <c r="E575" s="655"/>
      <c r="F575" s="655"/>
      <c r="G575" s="655"/>
      <c r="H575" s="655"/>
      <c r="I575" s="655"/>
      <c r="J575" s="655"/>
      <c r="K575" s="655"/>
    </row>
    <row r="576" spans="1:11" s="196" customFormat="1" x14ac:dyDescent="0.2">
      <c r="A576" s="198"/>
      <c r="B576" s="655"/>
      <c r="C576" s="655"/>
      <c r="D576" s="655"/>
      <c r="E576" s="655"/>
      <c r="F576" s="655"/>
      <c r="G576" s="655"/>
      <c r="H576" s="655"/>
      <c r="I576" s="655"/>
      <c r="J576" s="655"/>
      <c r="K576" s="655"/>
    </row>
    <row r="577" spans="1:11" s="196" customFormat="1" x14ac:dyDescent="0.2">
      <c r="A577" s="198"/>
      <c r="B577" s="655"/>
      <c r="C577" s="655"/>
      <c r="D577" s="655"/>
      <c r="E577" s="655"/>
      <c r="F577" s="655"/>
      <c r="G577" s="655"/>
      <c r="H577" s="655"/>
      <c r="I577" s="655"/>
      <c r="J577" s="655"/>
      <c r="K577" s="655"/>
    </row>
    <row r="578" spans="1:11" s="196" customFormat="1" x14ac:dyDescent="0.2">
      <c r="A578" s="198"/>
      <c r="B578" s="655"/>
      <c r="C578" s="655"/>
      <c r="D578" s="655"/>
      <c r="E578" s="655"/>
      <c r="F578" s="655"/>
      <c r="G578" s="655"/>
      <c r="H578" s="655"/>
      <c r="I578" s="655"/>
      <c r="J578" s="655"/>
      <c r="K578" s="655"/>
    </row>
    <row r="579" spans="1:11" s="196" customFormat="1" x14ac:dyDescent="0.2">
      <c r="A579" s="198"/>
      <c r="B579" s="655"/>
      <c r="C579" s="655"/>
      <c r="D579" s="655"/>
      <c r="E579" s="655"/>
      <c r="F579" s="655"/>
      <c r="G579" s="655"/>
      <c r="H579" s="655"/>
      <c r="I579" s="655"/>
      <c r="J579" s="655"/>
      <c r="K579" s="655"/>
    </row>
    <row r="580" spans="1:11" s="196" customFormat="1" x14ac:dyDescent="0.2">
      <c r="A580" s="198"/>
      <c r="B580" s="655"/>
      <c r="C580" s="655"/>
      <c r="D580" s="655"/>
      <c r="E580" s="655"/>
      <c r="F580" s="655"/>
      <c r="G580" s="655"/>
      <c r="H580" s="655"/>
      <c r="I580" s="655"/>
      <c r="J580" s="655"/>
      <c r="K580" s="655"/>
    </row>
    <row r="581" spans="1:11" s="196" customFormat="1" x14ac:dyDescent="0.2">
      <c r="A581" s="198"/>
      <c r="B581" s="655"/>
      <c r="C581" s="655"/>
      <c r="D581" s="655"/>
      <c r="E581" s="655"/>
      <c r="F581" s="655"/>
      <c r="G581" s="655"/>
      <c r="H581" s="655"/>
      <c r="I581" s="655"/>
      <c r="J581" s="655"/>
      <c r="K581" s="655"/>
    </row>
    <row r="582" spans="1:11" s="196" customFormat="1" x14ac:dyDescent="0.2">
      <c r="A582" s="198"/>
      <c r="B582" s="655"/>
      <c r="C582" s="655"/>
      <c r="D582" s="655"/>
      <c r="E582" s="655"/>
      <c r="F582" s="655"/>
      <c r="G582" s="655"/>
      <c r="H582" s="655"/>
      <c r="I582" s="655"/>
      <c r="J582" s="655"/>
      <c r="K582" s="655"/>
    </row>
    <row r="583" spans="1:11" s="196" customFormat="1" x14ac:dyDescent="0.2">
      <c r="A583" s="198"/>
      <c r="B583" s="655"/>
      <c r="C583" s="655"/>
      <c r="D583" s="655"/>
      <c r="E583" s="655"/>
      <c r="F583" s="655"/>
      <c r="G583" s="655"/>
      <c r="H583" s="655"/>
      <c r="I583" s="655"/>
      <c r="J583" s="655"/>
      <c r="K583" s="655"/>
    </row>
    <row r="584" spans="1:11" s="196" customFormat="1" x14ac:dyDescent="0.2">
      <c r="A584" s="198"/>
      <c r="B584" s="655"/>
      <c r="C584" s="655"/>
      <c r="D584" s="655"/>
      <c r="E584" s="655"/>
      <c r="F584" s="655"/>
      <c r="G584" s="655"/>
      <c r="H584" s="655"/>
      <c r="I584" s="655"/>
      <c r="J584" s="655"/>
      <c r="K584" s="655"/>
    </row>
    <row r="585" spans="1:11" s="196" customFormat="1" x14ac:dyDescent="0.2">
      <c r="A585" s="198"/>
      <c r="B585" s="655"/>
      <c r="C585" s="655"/>
      <c r="D585" s="655"/>
      <c r="E585" s="655"/>
      <c r="F585" s="655"/>
      <c r="G585" s="655"/>
      <c r="H585" s="655"/>
      <c r="I585" s="655"/>
      <c r="J585" s="655"/>
      <c r="K585" s="655"/>
    </row>
    <row r="586" spans="1:11" s="196" customFormat="1" x14ac:dyDescent="0.2">
      <c r="A586" s="198"/>
      <c r="B586" s="655"/>
      <c r="C586" s="655"/>
      <c r="D586" s="655"/>
      <c r="E586" s="655"/>
      <c r="F586" s="655"/>
      <c r="G586" s="655"/>
      <c r="H586" s="655"/>
      <c r="I586" s="655"/>
      <c r="J586" s="655"/>
      <c r="K586" s="655"/>
    </row>
    <row r="587" spans="1:11" s="192" customFormat="1" x14ac:dyDescent="0.2">
      <c r="A587" s="190" t="s">
        <v>685</v>
      </c>
      <c r="B587" s="20" t="s">
        <v>80</v>
      </c>
      <c r="C587" s="193"/>
      <c r="D587" s="193"/>
      <c r="E587" s="193"/>
      <c r="F587" s="193"/>
      <c r="G587" s="193"/>
      <c r="H587" s="193"/>
      <c r="I587" s="195"/>
      <c r="J587" s="194"/>
      <c r="K587" s="193"/>
    </row>
    <row r="588" spans="1:11" s="192" customFormat="1" x14ac:dyDescent="0.2">
      <c r="A588" s="190"/>
      <c r="B588" s="20"/>
      <c r="C588" s="193"/>
      <c r="D588" s="193"/>
      <c r="E588" s="193"/>
      <c r="F588" s="193"/>
      <c r="G588" s="193"/>
      <c r="H588" s="193"/>
      <c r="I588" s="195"/>
      <c r="J588" s="194"/>
      <c r="K588" s="193"/>
    </row>
    <row r="589" spans="1:11" s="192" customFormat="1" x14ac:dyDescent="0.25">
      <c r="A589" s="190" t="s">
        <v>686</v>
      </c>
      <c r="B589" s="755" t="s">
        <v>525</v>
      </c>
      <c r="C589" s="755"/>
      <c r="D589" s="755"/>
      <c r="E589" s="755"/>
      <c r="F589" s="755"/>
      <c r="G589" s="755"/>
      <c r="H589" s="755"/>
      <c r="I589" s="755"/>
      <c r="J589" s="755"/>
      <c r="K589" s="755"/>
    </row>
    <row r="590" spans="1:11" s="555" customFormat="1" x14ac:dyDescent="0.2">
      <c r="A590" s="191"/>
      <c r="B590" s="557"/>
      <c r="C590" s="557"/>
      <c r="D590" s="557"/>
      <c r="E590" s="557"/>
      <c r="F590" s="557"/>
      <c r="G590" s="557"/>
      <c r="H590" s="557"/>
      <c r="I590" s="557"/>
      <c r="J590" s="557"/>
      <c r="K590" s="557"/>
    </row>
    <row r="591" spans="1:11" s="555" customFormat="1" ht="26.1" customHeight="1" x14ac:dyDescent="0.25">
      <c r="A591" s="190" t="s">
        <v>687</v>
      </c>
      <c r="B591" s="755" t="s">
        <v>526</v>
      </c>
      <c r="C591" s="755"/>
      <c r="D591" s="755"/>
      <c r="E591" s="755"/>
      <c r="F591" s="755"/>
      <c r="G591" s="755"/>
      <c r="H591" s="755"/>
      <c r="I591" s="755"/>
      <c r="J591" s="755"/>
      <c r="K591" s="755"/>
    </row>
    <row r="592" spans="1:11" s="555" customFormat="1" x14ac:dyDescent="0.2">
      <c r="A592" s="191"/>
      <c r="B592" s="639"/>
      <c r="C592" s="639"/>
      <c r="D592" s="639"/>
      <c r="E592" s="639"/>
      <c r="F592" s="639"/>
      <c r="G592" s="639"/>
      <c r="H592" s="639"/>
      <c r="I592" s="639"/>
      <c r="J592" s="639"/>
      <c r="K592" s="639"/>
    </row>
    <row r="593" spans="1:11" s="555" customFormat="1" hidden="1" x14ac:dyDescent="0.25">
      <c r="A593" s="641">
        <f>A587+1</f>
        <v>16</v>
      </c>
      <c r="B593" s="560" t="s">
        <v>487</v>
      </c>
      <c r="C593" s="561"/>
      <c r="D593" s="561"/>
      <c r="E593" s="561"/>
      <c r="F593" s="561"/>
      <c r="G593" s="561"/>
      <c r="H593" s="561"/>
      <c r="I593" s="561"/>
      <c r="J593" s="561"/>
      <c r="K593" s="561"/>
    </row>
    <row r="594" spans="1:11" s="555" customFormat="1" hidden="1" x14ac:dyDescent="0.25">
      <c r="A594" s="562"/>
      <c r="B594" s="561"/>
      <c r="C594" s="561"/>
      <c r="D594" s="561"/>
      <c r="E594" s="561"/>
      <c r="F594" s="561"/>
      <c r="G594" s="561"/>
      <c r="H594" s="561"/>
      <c r="I594" s="561"/>
      <c r="J594" s="561"/>
      <c r="K594" s="561"/>
    </row>
    <row r="595" spans="1:11" s="555" customFormat="1" ht="12" hidden="1" customHeight="1" x14ac:dyDescent="0.25">
      <c r="A595" s="562"/>
      <c r="B595" s="777" t="s">
        <v>512</v>
      </c>
      <c r="C595" s="777"/>
      <c r="D595" s="777"/>
      <c r="E595" s="777"/>
      <c r="F595" s="777"/>
      <c r="G595" s="777"/>
      <c r="H595" s="777"/>
      <c r="I595" s="777"/>
      <c r="J595" s="777"/>
      <c r="K595" s="777"/>
    </row>
    <row r="596" spans="1:11" s="555" customFormat="1" ht="12" hidden="1" customHeight="1" x14ac:dyDescent="0.25">
      <c r="A596" s="562"/>
      <c r="B596" s="777"/>
      <c r="C596" s="777"/>
      <c r="D596" s="777"/>
      <c r="E596" s="777"/>
      <c r="F596" s="777"/>
      <c r="G596" s="777"/>
      <c r="H596" s="777"/>
      <c r="I596" s="777"/>
      <c r="J596" s="777"/>
      <c r="K596" s="777"/>
    </row>
    <row r="597" spans="1:11" s="555" customFormat="1" ht="12" hidden="1" customHeight="1" x14ac:dyDescent="0.25">
      <c r="A597" s="562"/>
      <c r="B597" s="777"/>
      <c r="C597" s="777"/>
      <c r="D597" s="777"/>
      <c r="E597" s="777"/>
      <c r="F597" s="777"/>
      <c r="G597" s="777"/>
      <c r="H597" s="777"/>
      <c r="I597" s="777"/>
      <c r="J597" s="777"/>
      <c r="K597" s="777"/>
    </row>
    <row r="598" spans="1:11" s="555" customFormat="1" ht="12" hidden="1" customHeight="1" x14ac:dyDescent="0.25">
      <c r="A598" s="562"/>
      <c r="B598" s="777"/>
      <c r="C598" s="777"/>
      <c r="D598" s="777"/>
      <c r="E598" s="777"/>
      <c r="F598" s="777"/>
      <c r="G598" s="777"/>
      <c r="H598" s="777"/>
      <c r="I598" s="777"/>
      <c r="J598" s="777"/>
      <c r="K598" s="777"/>
    </row>
    <row r="599" spans="1:11" s="555" customFormat="1" ht="12" hidden="1" customHeight="1" x14ac:dyDescent="0.25">
      <c r="A599" s="562"/>
      <c r="B599" s="777"/>
      <c r="C599" s="777"/>
      <c r="D599" s="777"/>
      <c r="E599" s="777"/>
      <c r="F599" s="777"/>
      <c r="G599" s="777"/>
      <c r="H599" s="777"/>
      <c r="I599" s="777"/>
      <c r="J599" s="777"/>
      <c r="K599" s="777"/>
    </row>
    <row r="600" spans="1:11" s="555" customFormat="1" ht="12" hidden="1" customHeight="1" x14ac:dyDescent="0.25">
      <c r="A600" s="562"/>
      <c r="B600" s="777"/>
      <c r="C600" s="777"/>
      <c r="D600" s="777"/>
      <c r="E600" s="777"/>
      <c r="F600" s="777"/>
      <c r="G600" s="777"/>
      <c r="H600" s="777"/>
      <c r="I600" s="777"/>
      <c r="J600" s="777"/>
      <c r="K600" s="777"/>
    </row>
    <row r="601" spans="1:11" s="555" customFormat="1" ht="12" hidden="1" customHeight="1" x14ac:dyDescent="0.25">
      <c r="A601" s="562"/>
      <c r="B601" s="631"/>
      <c r="C601" s="631"/>
      <c r="D601" s="631"/>
      <c r="E601" s="631"/>
      <c r="F601" s="631"/>
      <c r="G601" s="631"/>
      <c r="H601" s="631"/>
      <c r="I601" s="631"/>
      <c r="J601" s="631"/>
      <c r="K601" s="631"/>
    </row>
    <row r="602" spans="1:11" s="555" customFormat="1" ht="12" hidden="1" customHeight="1" x14ac:dyDescent="0.25">
      <c r="A602" s="562"/>
      <c r="B602" s="778" t="s">
        <v>513</v>
      </c>
      <c r="C602" s="778"/>
      <c r="D602" s="778"/>
      <c r="E602" s="778"/>
      <c r="F602" s="778"/>
      <c r="G602" s="778"/>
      <c r="H602" s="778"/>
      <c r="I602" s="778"/>
      <c r="J602" s="778"/>
      <c r="K602" s="778"/>
    </row>
    <row r="603" spans="1:11" s="555" customFormat="1" ht="12" hidden="1" customHeight="1" x14ac:dyDescent="0.25">
      <c r="A603" s="562"/>
      <c r="B603" s="778"/>
      <c r="C603" s="778"/>
      <c r="D603" s="778"/>
      <c r="E603" s="778"/>
      <c r="F603" s="778"/>
      <c r="G603" s="778"/>
      <c r="H603" s="778"/>
      <c r="I603" s="778"/>
      <c r="J603" s="778"/>
      <c r="K603" s="778"/>
    </row>
    <row r="604" spans="1:11" s="555" customFormat="1" ht="12" hidden="1" customHeight="1" x14ac:dyDescent="0.25">
      <c r="A604" s="562"/>
      <c r="B604" s="778"/>
      <c r="C604" s="778"/>
      <c r="D604" s="778"/>
      <c r="E604" s="778"/>
      <c r="F604" s="778"/>
      <c r="G604" s="778"/>
      <c r="H604" s="778"/>
      <c r="I604" s="778"/>
      <c r="J604" s="778"/>
      <c r="K604" s="778"/>
    </row>
    <row r="605" spans="1:11" s="555" customFormat="1" ht="12" hidden="1" customHeight="1" x14ac:dyDescent="0.25">
      <c r="A605" s="562"/>
      <c r="B605" s="778"/>
      <c r="C605" s="778"/>
      <c r="D605" s="778"/>
      <c r="E605" s="778"/>
      <c r="F605" s="778"/>
      <c r="G605" s="778"/>
      <c r="H605" s="778"/>
      <c r="I605" s="778"/>
      <c r="J605" s="778"/>
      <c r="K605" s="778"/>
    </row>
    <row r="606" spans="1:11" s="555" customFormat="1" ht="12" hidden="1" customHeight="1" x14ac:dyDescent="0.25">
      <c r="A606" s="562"/>
      <c r="B606" s="778"/>
      <c r="C606" s="778"/>
      <c r="D606" s="778"/>
      <c r="E606" s="778"/>
      <c r="F606" s="778"/>
      <c r="G606" s="778"/>
      <c r="H606" s="778"/>
      <c r="I606" s="778"/>
      <c r="J606" s="778"/>
      <c r="K606" s="778"/>
    </row>
    <row r="607" spans="1:11" s="555" customFormat="1" ht="12" hidden="1" customHeight="1" x14ac:dyDescent="0.25">
      <c r="A607" s="562"/>
      <c r="B607" s="778"/>
      <c r="C607" s="778"/>
      <c r="D607" s="778"/>
      <c r="E607" s="778"/>
      <c r="F607" s="778"/>
      <c r="G607" s="778"/>
      <c r="H607" s="778"/>
      <c r="I607" s="778"/>
      <c r="J607" s="778"/>
      <c r="K607" s="778"/>
    </row>
    <row r="608" spans="1:11" s="555" customFormat="1" hidden="1" x14ac:dyDescent="0.25">
      <c r="A608" s="562"/>
      <c r="B608" s="632"/>
      <c r="C608" s="637"/>
      <c r="D608" s="637"/>
      <c r="E608" s="637"/>
      <c r="F608" s="637"/>
      <c r="G608" s="637"/>
      <c r="H608" s="637"/>
      <c r="I608" s="637"/>
      <c r="J608" s="637"/>
      <c r="K608" s="637"/>
    </row>
    <row r="609" spans="1:11" s="555" customFormat="1" ht="12" hidden="1" customHeight="1" x14ac:dyDescent="0.25">
      <c r="A609" s="562"/>
      <c r="B609" s="778" t="s">
        <v>514</v>
      </c>
      <c r="C609" s="778"/>
      <c r="D609" s="778"/>
      <c r="E609" s="778"/>
      <c r="F609" s="778"/>
      <c r="G609" s="778"/>
      <c r="H609" s="778"/>
      <c r="I609" s="778"/>
      <c r="J609" s="778"/>
      <c r="K609" s="778"/>
    </row>
    <row r="610" spans="1:11" s="555" customFormat="1" ht="12" hidden="1" customHeight="1" x14ac:dyDescent="0.25">
      <c r="A610" s="562"/>
      <c r="B610" s="778"/>
      <c r="C610" s="778"/>
      <c r="D610" s="778"/>
      <c r="E610" s="778"/>
      <c r="F610" s="778"/>
      <c r="G610" s="778"/>
      <c r="H610" s="778"/>
      <c r="I610" s="778"/>
      <c r="J610" s="778"/>
      <c r="K610" s="778"/>
    </row>
    <row r="611" spans="1:11" s="555" customFormat="1" ht="12" hidden="1" customHeight="1" x14ac:dyDescent="0.25">
      <c r="A611" s="562"/>
      <c r="B611" s="778"/>
      <c r="C611" s="778"/>
      <c r="D611" s="778"/>
      <c r="E611" s="778"/>
      <c r="F611" s="778"/>
      <c r="G611" s="778"/>
      <c r="H611" s="778"/>
      <c r="I611" s="778"/>
      <c r="J611" s="778"/>
      <c r="K611" s="778"/>
    </row>
    <row r="612" spans="1:11" s="555" customFormat="1" ht="12" hidden="1" customHeight="1" x14ac:dyDescent="0.25">
      <c r="A612" s="562"/>
      <c r="B612" s="779" t="s">
        <v>515</v>
      </c>
      <c r="C612" s="779"/>
      <c r="D612" s="779"/>
      <c r="E612" s="779"/>
      <c r="F612" s="779"/>
      <c r="G612" s="779"/>
      <c r="H612" s="779"/>
      <c r="I612" s="779"/>
      <c r="J612" s="779"/>
      <c r="K612" s="779"/>
    </row>
    <row r="613" spans="1:11" s="555" customFormat="1" ht="12" hidden="1" customHeight="1" x14ac:dyDescent="0.25">
      <c r="A613" s="562"/>
      <c r="B613" s="779"/>
      <c r="C613" s="779"/>
      <c r="D613" s="779"/>
      <c r="E613" s="779"/>
      <c r="F613" s="779"/>
      <c r="G613" s="779"/>
      <c r="H613" s="779"/>
      <c r="I613" s="779"/>
      <c r="J613" s="779"/>
      <c r="K613" s="779"/>
    </row>
    <row r="614" spans="1:11" s="555" customFormat="1" hidden="1" x14ac:dyDescent="0.25">
      <c r="A614" s="562"/>
      <c r="B614" s="779"/>
      <c r="C614" s="779"/>
      <c r="D614" s="779"/>
      <c r="E614" s="779"/>
      <c r="F614" s="779"/>
      <c r="G614" s="779"/>
      <c r="H614" s="779"/>
      <c r="I614" s="779"/>
      <c r="J614" s="779"/>
      <c r="K614" s="779"/>
    </row>
    <row r="615" spans="1:11" s="555" customFormat="1" hidden="1" x14ac:dyDescent="0.2">
      <c r="A615" s="191"/>
      <c r="B615" s="557"/>
      <c r="C615" s="557"/>
      <c r="D615" s="557"/>
      <c r="E615" s="557"/>
      <c r="F615" s="557"/>
      <c r="G615" s="557"/>
      <c r="H615" s="557"/>
      <c r="I615" s="557"/>
      <c r="J615" s="557"/>
      <c r="K615" s="557"/>
    </row>
    <row r="616" spans="1:11" s="555" customFormat="1" x14ac:dyDescent="0.2">
      <c r="A616" s="191"/>
      <c r="B616" s="557"/>
      <c r="C616" s="557"/>
      <c r="D616" s="557"/>
      <c r="E616" s="557"/>
      <c r="F616" s="557"/>
      <c r="G616" s="557"/>
      <c r="H616" s="557"/>
      <c r="I616" s="557"/>
      <c r="J616" s="557"/>
      <c r="K616" s="557"/>
    </row>
    <row r="617" spans="1:11" s="192" customFormat="1" ht="15" hidden="1" customHeight="1" x14ac:dyDescent="0.2">
      <c r="A617" s="191">
        <v>15.2</v>
      </c>
      <c r="B617" s="776" t="s">
        <v>79</v>
      </c>
      <c r="C617" s="776"/>
      <c r="D617" s="776"/>
      <c r="E617" s="776"/>
      <c r="F617" s="776"/>
      <c r="G617" s="776"/>
      <c r="H617" s="776"/>
      <c r="I617" s="776"/>
      <c r="J617" s="776"/>
      <c r="K617" s="776"/>
    </row>
    <row r="618" spans="1:11" s="192" customFormat="1" ht="15" hidden="1" customHeight="1" x14ac:dyDescent="0.25">
      <c r="A618" s="275"/>
      <c r="B618" s="776"/>
      <c r="C618" s="776"/>
      <c r="D618" s="776"/>
      <c r="E618" s="776"/>
      <c r="F618" s="776"/>
      <c r="G618" s="776"/>
      <c r="H618" s="776"/>
      <c r="I618" s="776"/>
      <c r="J618" s="776"/>
      <c r="K618" s="776"/>
    </row>
    <row r="619" spans="1:11" s="192" customFormat="1" x14ac:dyDescent="0.25">
      <c r="A619" s="190" t="s">
        <v>692</v>
      </c>
      <c r="B619" s="189" t="s">
        <v>78</v>
      </c>
      <c r="C619" s="188"/>
      <c r="D619" s="188"/>
      <c r="E619" s="188"/>
      <c r="F619" s="188"/>
      <c r="G619" s="188"/>
      <c r="H619" s="188"/>
      <c r="I619" s="188"/>
      <c r="J619" s="188"/>
      <c r="K619" s="188"/>
    </row>
    <row r="620" spans="1:11" s="192" customFormat="1" x14ac:dyDescent="0.25">
      <c r="A620" s="184"/>
      <c r="B620" s="188"/>
      <c r="C620" s="188"/>
      <c r="D620" s="188"/>
      <c r="E620" s="188"/>
      <c r="F620" s="188"/>
      <c r="G620" s="188"/>
      <c r="H620" s="188"/>
      <c r="I620" s="188"/>
      <c r="J620" s="188"/>
      <c r="K620" s="188"/>
    </row>
    <row r="621" spans="1:11" s="192" customFormat="1" x14ac:dyDescent="0.25">
      <c r="A621" s="187"/>
      <c r="B621" s="754" t="s">
        <v>77</v>
      </c>
      <c r="C621" s="754"/>
      <c r="D621" s="754"/>
      <c r="E621" s="754"/>
      <c r="F621" s="754"/>
      <c r="G621" s="754"/>
      <c r="H621" s="754"/>
      <c r="I621" s="754"/>
      <c r="J621" s="754"/>
      <c r="K621" s="754"/>
    </row>
    <row r="622" spans="1:11" s="192" customFormat="1" x14ac:dyDescent="0.25">
      <c r="A622" s="184"/>
      <c r="B622" s="754"/>
      <c r="C622" s="754"/>
      <c r="D622" s="754"/>
      <c r="E622" s="754"/>
      <c r="F622" s="754"/>
      <c r="G622" s="754"/>
      <c r="H622" s="754"/>
      <c r="I622" s="754"/>
      <c r="J622" s="754"/>
      <c r="K622" s="754"/>
    </row>
    <row r="623" spans="1:11" s="192" customFormat="1" x14ac:dyDescent="0.25">
      <c r="A623" s="186"/>
      <c r="B623" s="185"/>
      <c r="C623" s="185"/>
      <c r="D623" s="185"/>
      <c r="E623" s="185"/>
      <c r="F623" s="185"/>
      <c r="G623" s="185"/>
      <c r="H623" s="185"/>
      <c r="I623" s="185"/>
      <c r="J623" s="185"/>
      <c r="K623" s="185"/>
    </row>
    <row r="624" spans="1:11" s="192" customFormat="1" x14ac:dyDescent="0.25">
      <c r="A624" s="186"/>
      <c r="B624" s="185"/>
      <c r="C624" s="185"/>
      <c r="D624" s="185"/>
      <c r="E624" s="185"/>
      <c r="F624" s="185"/>
      <c r="G624" s="185"/>
      <c r="H624" s="185"/>
      <c r="I624" s="185"/>
      <c r="J624" s="185"/>
      <c r="K624" s="185"/>
    </row>
    <row r="625" spans="1:5" s="1" customFormat="1" x14ac:dyDescent="0.2">
      <c r="A625" s="12" t="str">
        <f>SAL!$A$40</f>
        <v xml:space="preserve">                                                       For MCB-Arif Habib Savings and Investments Limited</v>
      </c>
      <c r="B625" s="17"/>
      <c r="C625" s="17"/>
      <c r="D625" s="17"/>
      <c r="E625" s="17"/>
    </row>
    <row r="626" spans="1:5" s="1" customFormat="1" x14ac:dyDescent="0.2">
      <c r="A626" s="10" t="str">
        <f>SAL!$A$41</f>
        <v xml:space="preserve">                                                                               (Management Company)</v>
      </c>
      <c r="B626" s="17"/>
      <c r="C626" s="17"/>
      <c r="D626" s="17"/>
      <c r="E626" s="16"/>
    </row>
    <row r="627" spans="1:5" s="1" customFormat="1" x14ac:dyDescent="0.2">
      <c r="A627" s="15"/>
      <c r="B627" s="15"/>
      <c r="C627" s="9"/>
      <c r="D627" s="13"/>
      <c r="E627" s="7"/>
    </row>
    <row r="628" spans="1:5" s="1" customFormat="1" x14ac:dyDescent="0.2">
      <c r="A628" s="15"/>
      <c r="B628" s="15"/>
      <c r="C628" s="9"/>
      <c r="D628" s="13"/>
      <c r="E628" s="7"/>
    </row>
    <row r="629" spans="1:5" s="1" customFormat="1" x14ac:dyDescent="0.2">
      <c r="A629" s="15"/>
      <c r="B629" s="15"/>
      <c r="C629" s="9"/>
      <c r="D629" s="13"/>
      <c r="E629" s="7"/>
    </row>
    <row r="630" spans="1:5" s="1" customFormat="1" x14ac:dyDescent="0.2">
      <c r="A630" s="15"/>
      <c r="B630" s="15"/>
      <c r="C630" s="9"/>
      <c r="D630" s="13"/>
      <c r="E630" s="7"/>
    </row>
    <row r="631" spans="1:5" s="1" customFormat="1" x14ac:dyDescent="0.2">
      <c r="A631" s="12" t="str">
        <f>SAL!$A$46</f>
        <v xml:space="preserve">           _____________________                          _____________________                          _____________________</v>
      </c>
      <c r="E631" s="7"/>
    </row>
    <row r="632" spans="1:5" s="1" customFormat="1" x14ac:dyDescent="0.2">
      <c r="A632" s="10" t="str">
        <f>SAL!$A$47</f>
        <v xml:space="preserve">            Chief Executive Officer                              Chief Financial Officer                                          Director</v>
      </c>
      <c r="E632" s="7"/>
    </row>
  </sheetData>
  <mergeCells count="49">
    <mergeCell ref="G524:K524"/>
    <mergeCell ref="B526:C526"/>
    <mergeCell ref="B527:C527"/>
    <mergeCell ref="B310:K322"/>
    <mergeCell ref="B324:K328"/>
    <mergeCell ref="B2:K3"/>
    <mergeCell ref="B9:K18"/>
    <mergeCell ref="B5:K7"/>
    <mergeCell ref="I346:K346"/>
    <mergeCell ref="B23:K26"/>
    <mergeCell ref="I296:K296"/>
    <mergeCell ref="I32:K32"/>
    <mergeCell ref="I267:K267"/>
    <mergeCell ref="I47:K47"/>
    <mergeCell ref="B41:K42"/>
    <mergeCell ref="B272:K273"/>
    <mergeCell ref="B58:K67"/>
    <mergeCell ref="B621:K622"/>
    <mergeCell ref="I406:K406"/>
    <mergeCell ref="B497:K499"/>
    <mergeCell ref="B501:K503"/>
    <mergeCell ref="I431:K431"/>
    <mergeCell ref="B424:K426"/>
    <mergeCell ref="B617:K618"/>
    <mergeCell ref="B589:K589"/>
    <mergeCell ref="B595:K600"/>
    <mergeCell ref="B602:K607"/>
    <mergeCell ref="B609:K611"/>
    <mergeCell ref="B612:K614"/>
    <mergeCell ref="B505:K505"/>
    <mergeCell ref="B507:K507"/>
    <mergeCell ref="B509:K509"/>
    <mergeCell ref="B511:K511"/>
    <mergeCell ref="B591:K591"/>
    <mergeCell ref="O377:T381"/>
    <mergeCell ref="I403:K403"/>
    <mergeCell ref="B395:K396"/>
    <mergeCell ref="B333:K337"/>
    <mergeCell ref="B400:K401"/>
    <mergeCell ref="B359:K367"/>
    <mergeCell ref="B390:K393"/>
    <mergeCell ref="B384:K388"/>
    <mergeCell ref="B372:K373"/>
    <mergeCell ref="B377:K379"/>
    <mergeCell ref="B515:K518"/>
    <mergeCell ref="B520:K520"/>
    <mergeCell ref="B521:K521"/>
    <mergeCell ref="B522:C523"/>
    <mergeCell ref="E522:E523"/>
  </mergeCells>
  <printOptions horizontalCentered="1"/>
  <pageMargins left="0.75" right="0.5" top="0.7" bottom="0.4" header="0.45" footer="0.3"/>
  <pageSetup paperSize="9" scale="71" firstPageNumber="2" orientation="portrait" useFirstPageNumber="1" r:id="rId1"/>
  <headerFooter>
    <oddHeader>&amp;C&amp;"Arial,Regular"&amp;9&amp;P</oddHeader>
  </headerFooter>
  <rowBreaks count="6" manualBreakCount="6">
    <brk id="262" max="10" man="1"/>
    <brk id="307" max="10" man="1"/>
    <brk id="374" max="10" man="1"/>
    <brk id="427" max="10" man="1"/>
    <brk id="494" max="10" man="1"/>
    <brk id="585" max="10"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5"/>
  <sheetViews>
    <sheetView showGridLines="0" topLeftCell="A42" zoomScaleNormal="100" zoomScaleSheetLayoutView="100" workbookViewId="0">
      <selection activeCell="L27" sqref="L27"/>
    </sheetView>
  </sheetViews>
  <sheetFormatPr defaultColWidth="12.625" defaultRowHeight="12" x14ac:dyDescent="0.2"/>
  <cols>
    <col min="1" max="1" width="5.125" style="199" customWidth="1"/>
    <col min="2" max="2" width="30.5" style="199" bestFit="1" customWidth="1"/>
    <col min="3" max="4" width="7.875" style="199" customWidth="1"/>
    <col min="5" max="5" width="0" style="199" hidden="1" customWidth="1"/>
    <col min="6" max="6" width="7.875" style="199" customWidth="1"/>
    <col min="7" max="7" width="8.875" style="199" bestFit="1" customWidth="1"/>
    <col min="8" max="8" width="0.625" style="199" customWidth="1"/>
    <col min="9" max="9" width="7.375" style="199" bestFit="1" customWidth="1"/>
    <col min="10" max="10" width="7.125" style="199" customWidth="1"/>
    <col min="11" max="11" width="0" style="199" hidden="1" customWidth="1"/>
    <col min="12" max="12" width="8" style="199" bestFit="1" customWidth="1"/>
    <col min="13" max="13" width="7.125" style="199" customWidth="1"/>
    <col min="14" max="14" width="12.625" style="199" bestFit="1" customWidth="1"/>
    <col min="15" max="15" width="14.125" style="199" customWidth="1"/>
    <col min="16" max="16384" width="12.625" style="199"/>
  </cols>
  <sheetData>
    <row r="1" spans="1:13" hidden="1" x14ac:dyDescent="0.2">
      <c r="A1" s="345" t="s">
        <v>150</v>
      </c>
      <c r="B1" s="235"/>
      <c r="C1" s="343"/>
      <c r="D1" s="343"/>
      <c r="E1" s="343"/>
      <c r="F1" s="343"/>
      <c r="G1" s="343"/>
      <c r="H1" s="342"/>
      <c r="I1" s="342"/>
      <c r="J1" s="342"/>
      <c r="K1" s="235"/>
      <c r="L1" s="235"/>
      <c r="M1" s="235"/>
    </row>
    <row r="2" spans="1:13" hidden="1" x14ac:dyDescent="0.2">
      <c r="A2" s="344"/>
      <c r="B2" s="343"/>
      <c r="C2" s="343"/>
      <c r="D2" s="343"/>
      <c r="E2" s="343"/>
      <c r="F2" s="343"/>
      <c r="G2" s="343"/>
      <c r="H2" s="342"/>
      <c r="I2" s="342"/>
      <c r="J2" s="342"/>
      <c r="K2" s="235"/>
      <c r="L2" s="235"/>
      <c r="M2" s="235"/>
    </row>
    <row r="3" spans="1:13" hidden="1" x14ac:dyDescent="0.2">
      <c r="A3" s="784" t="s">
        <v>149</v>
      </c>
      <c r="B3" s="784"/>
      <c r="C3" s="784"/>
      <c r="D3" s="784"/>
      <c r="E3" s="784"/>
      <c r="F3" s="784"/>
      <c r="G3" s="784"/>
      <c r="H3" s="784"/>
      <c r="I3" s="784"/>
      <c r="J3" s="784"/>
      <c r="K3" s="784"/>
      <c r="L3" s="784"/>
      <c r="M3" s="784"/>
    </row>
    <row r="4" spans="1:13" hidden="1" x14ac:dyDescent="0.2">
      <c r="A4" s="784"/>
      <c r="B4" s="784"/>
      <c r="C4" s="784"/>
      <c r="D4" s="784"/>
      <c r="E4" s="784"/>
      <c r="F4" s="784"/>
      <c r="G4" s="784"/>
      <c r="H4" s="784"/>
      <c r="I4" s="784"/>
      <c r="J4" s="784"/>
      <c r="K4" s="784"/>
      <c r="L4" s="784"/>
      <c r="M4" s="784"/>
    </row>
    <row r="5" spans="1:13" hidden="1" x14ac:dyDescent="0.2">
      <c r="A5" s="344"/>
      <c r="B5" s="343"/>
      <c r="C5" s="343"/>
      <c r="D5" s="343"/>
      <c r="E5" s="343"/>
      <c r="F5" s="343"/>
      <c r="G5" s="343"/>
      <c r="H5" s="342"/>
      <c r="I5" s="342"/>
      <c r="J5" s="342"/>
      <c r="K5" s="235"/>
      <c r="L5" s="235"/>
      <c r="M5" s="235"/>
    </row>
    <row r="6" spans="1:13" hidden="1" x14ac:dyDescent="0.2">
      <c r="A6" s="784" t="s">
        <v>148</v>
      </c>
      <c r="B6" s="784"/>
      <c r="C6" s="784"/>
      <c r="D6" s="784"/>
      <c r="E6" s="784"/>
      <c r="F6" s="784"/>
      <c r="G6" s="784"/>
      <c r="H6" s="784"/>
      <c r="I6" s="784"/>
      <c r="J6" s="784"/>
      <c r="K6" s="784"/>
      <c r="L6" s="784"/>
      <c r="M6" s="784"/>
    </row>
    <row r="7" spans="1:13" hidden="1" x14ac:dyDescent="0.2">
      <c r="A7" s="784"/>
      <c r="B7" s="784"/>
      <c r="C7" s="784"/>
      <c r="D7" s="784"/>
      <c r="E7" s="784"/>
      <c r="F7" s="784"/>
      <c r="G7" s="784"/>
      <c r="H7" s="784"/>
      <c r="I7" s="784"/>
      <c r="J7" s="784"/>
      <c r="K7" s="784"/>
      <c r="L7" s="784"/>
      <c r="M7" s="784"/>
    </row>
    <row r="8" spans="1:13" hidden="1" x14ac:dyDescent="0.2">
      <c r="A8" s="344"/>
      <c r="B8" s="343"/>
      <c r="C8" s="343"/>
      <c r="D8" s="343"/>
      <c r="E8" s="343"/>
      <c r="F8" s="343"/>
      <c r="G8" s="343"/>
      <c r="H8" s="342"/>
      <c r="I8" s="342"/>
      <c r="J8" s="342"/>
      <c r="K8" s="235"/>
      <c r="L8" s="235"/>
      <c r="M8" s="235"/>
    </row>
    <row r="9" spans="1:13" ht="15" hidden="1" customHeight="1" x14ac:dyDescent="0.2">
      <c r="A9" s="785" t="s">
        <v>147</v>
      </c>
      <c r="B9" s="785"/>
      <c r="C9" s="785"/>
      <c r="D9" s="785"/>
      <c r="E9" s="785"/>
      <c r="F9" s="785"/>
      <c r="G9" s="785"/>
      <c r="H9" s="785"/>
      <c r="I9" s="785"/>
      <c r="J9" s="785"/>
      <c r="K9" s="785"/>
      <c r="L9" s="785"/>
      <c r="M9" s="785"/>
    </row>
    <row r="10" spans="1:13" hidden="1" x14ac:dyDescent="0.2">
      <c r="A10" s="785"/>
      <c r="B10" s="785"/>
      <c r="C10" s="785"/>
      <c r="D10" s="785"/>
      <c r="E10" s="785"/>
      <c r="F10" s="785"/>
      <c r="G10" s="785"/>
      <c r="H10" s="785"/>
      <c r="I10" s="785"/>
      <c r="J10" s="785"/>
      <c r="K10" s="785"/>
      <c r="L10" s="785"/>
      <c r="M10" s="785"/>
    </row>
    <row r="11" spans="1:13" x14ac:dyDescent="0.2">
      <c r="A11" s="235"/>
      <c r="B11" s="235"/>
      <c r="C11" s="235"/>
      <c r="D11" s="235"/>
      <c r="E11" s="235"/>
      <c r="F11" s="235"/>
      <c r="G11" s="235"/>
      <c r="H11" s="235"/>
      <c r="I11" s="235"/>
      <c r="J11" s="235"/>
      <c r="K11" s="235"/>
      <c r="L11" s="235"/>
      <c r="M11" s="235"/>
    </row>
    <row r="12" spans="1:13" s="327" customFormat="1" ht="12.75" x14ac:dyDescent="0.25">
      <c r="A12" s="337"/>
      <c r="B12" s="341"/>
      <c r="C12" s="786" t="s">
        <v>670</v>
      </c>
      <c r="D12" s="787"/>
      <c r="E12" s="787"/>
      <c r="F12" s="787"/>
      <c r="G12" s="787"/>
      <c r="H12" s="787"/>
      <c r="I12" s="787"/>
      <c r="J12" s="787"/>
      <c r="K12" s="787"/>
      <c r="L12" s="787"/>
      <c r="M12" s="787"/>
    </row>
    <row r="13" spans="1:13" s="327" customFormat="1" ht="12.75" customHeight="1" x14ac:dyDescent="0.25">
      <c r="A13" s="339"/>
      <c r="B13" s="341"/>
      <c r="C13" s="732" t="s">
        <v>668</v>
      </c>
      <c r="D13" s="732" t="s">
        <v>145</v>
      </c>
      <c r="E13" s="732" t="s">
        <v>143</v>
      </c>
      <c r="F13" s="732" t="s">
        <v>142</v>
      </c>
      <c r="G13" s="732" t="s">
        <v>658</v>
      </c>
      <c r="H13" s="788"/>
      <c r="I13" s="732" t="s">
        <v>668</v>
      </c>
      <c r="J13" s="732" t="s">
        <v>144</v>
      </c>
      <c r="K13" s="732" t="s">
        <v>143</v>
      </c>
      <c r="L13" s="732" t="s">
        <v>142</v>
      </c>
      <c r="M13" s="732" t="s">
        <v>658</v>
      </c>
    </row>
    <row r="14" spans="1:13" s="327" customFormat="1" ht="12.75" x14ac:dyDescent="0.25">
      <c r="A14" s="339"/>
      <c r="B14" s="340"/>
      <c r="C14" s="733"/>
      <c r="D14" s="733"/>
      <c r="E14" s="733"/>
      <c r="F14" s="733"/>
      <c r="G14" s="733"/>
      <c r="H14" s="788"/>
      <c r="I14" s="733"/>
      <c r="J14" s="733"/>
      <c r="K14" s="733"/>
      <c r="L14" s="733"/>
      <c r="M14" s="733"/>
    </row>
    <row r="15" spans="1:13" s="327" customFormat="1" ht="12.75" x14ac:dyDescent="0.25">
      <c r="A15" s="339"/>
      <c r="B15" s="338"/>
      <c r="C15" s="734"/>
      <c r="D15" s="734"/>
      <c r="E15" s="734"/>
      <c r="F15" s="734"/>
      <c r="G15" s="734"/>
      <c r="H15" s="788"/>
      <c r="I15" s="734"/>
      <c r="J15" s="734"/>
      <c r="K15" s="734"/>
      <c r="L15" s="734"/>
      <c r="M15" s="734"/>
    </row>
    <row r="16" spans="1:13" s="327" customFormat="1" ht="12.75" x14ac:dyDescent="0.25">
      <c r="A16" s="337"/>
      <c r="B16" s="336"/>
      <c r="C16" s="789" t="s">
        <v>141</v>
      </c>
      <c r="D16" s="789"/>
      <c r="E16" s="789"/>
      <c r="F16" s="789"/>
      <c r="G16" s="789"/>
      <c r="H16" s="653"/>
      <c r="I16" s="789" t="s">
        <v>146</v>
      </c>
      <c r="J16" s="789"/>
      <c r="K16" s="789"/>
      <c r="L16" s="789"/>
      <c r="M16" s="789"/>
    </row>
    <row r="17" spans="1:17" s="323" customFormat="1" ht="11.25" x14ac:dyDescent="0.2">
      <c r="A17" s="329"/>
      <c r="B17" s="326" t="s">
        <v>140</v>
      </c>
      <c r="C17" s="329"/>
      <c r="D17" s="329"/>
      <c r="E17" s="329"/>
      <c r="F17" s="329"/>
      <c r="G17" s="329"/>
      <c r="H17" s="329"/>
      <c r="I17" s="329"/>
      <c r="J17" s="329"/>
      <c r="K17" s="329"/>
      <c r="L17" s="329"/>
      <c r="M17" s="329"/>
      <c r="N17" s="667"/>
      <c r="O17" s="335"/>
      <c r="P17" s="334"/>
    </row>
    <row r="18" spans="1:17" s="323" customFormat="1" ht="11.25" x14ac:dyDescent="0.2">
      <c r="A18" s="329"/>
      <c r="B18" s="324" t="s">
        <v>661</v>
      </c>
      <c r="C18" s="553">
        <v>0</v>
      </c>
      <c r="D18" s="553">
        <v>8671793</v>
      </c>
      <c r="E18" s="553"/>
      <c r="F18" s="553">
        <v>8550014.1439999994</v>
      </c>
      <c r="G18" s="552">
        <f>C18+D18-F18</f>
        <v>121778.85600000061</v>
      </c>
      <c r="H18" s="553"/>
      <c r="I18" s="553">
        <v>0</v>
      </c>
      <c r="J18" s="553">
        <f>D18*50.4678/1000</f>
        <v>437646.31476540002</v>
      </c>
      <c r="K18" s="553"/>
      <c r="L18" s="553">
        <f>F18*50.4678/1000</f>
        <v>431500.40381656314</v>
      </c>
      <c r="M18" s="553">
        <f>+G18*SAL!$F$34/1000</f>
        <v>6145.9109488368304</v>
      </c>
      <c r="N18" s="333">
        <f>[3]SAL!$F$36</f>
        <v>50.467799999999997</v>
      </c>
      <c r="O18" s="331">
        <f>J18-L18</f>
        <v>6145.9109488368849</v>
      </c>
      <c r="P18" s="330"/>
      <c r="Q18" s="669"/>
    </row>
    <row r="19" spans="1:17" s="323" customFormat="1" ht="11.25" x14ac:dyDescent="0.2">
      <c r="A19" s="329"/>
      <c r="B19" s="505" t="s">
        <v>667</v>
      </c>
      <c r="C19" s="553">
        <v>0</v>
      </c>
      <c r="D19" s="553">
        <v>14032397</v>
      </c>
      <c r="E19" s="553"/>
      <c r="F19" s="553">
        <v>14021589.898</v>
      </c>
      <c r="G19" s="553">
        <f>C19+D19-F19</f>
        <v>10807.101999999955</v>
      </c>
      <c r="H19" s="553"/>
      <c r="I19" s="553">
        <v>0</v>
      </c>
      <c r="J19" s="553">
        <f>D19*50.4678/1000</f>
        <v>708184.20531659992</v>
      </c>
      <c r="K19" s="553"/>
      <c r="L19" s="553">
        <f>F19*50.4678/1000</f>
        <v>707638.79465428437</v>
      </c>
      <c r="M19" s="553">
        <f>+G19*SAL!$F$34/1000</f>
        <v>545.41066231559773</v>
      </c>
      <c r="N19" s="333"/>
      <c r="O19" s="331"/>
      <c r="P19" s="330"/>
      <c r="Q19" s="668"/>
    </row>
    <row r="20" spans="1:17" s="323" customFormat="1" ht="11.25" x14ac:dyDescent="0.2">
      <c r="A20" s="329"/>
      <c r="B20" s="505" t="s">
        <v>666</v>
      </c>
      <c r="C20" s="553"/>
      <c r="D20" s="553"/>
      <c r="E20" s="553"/>
      <c r="F20" s="553"/>
      <c r="G20" s="553"/>
      <c r="H20" s="553"/>
      <c r="I20" s="553"/>
      <c r="J20" s="553"/>
      <c r="K20" s="553"/>
      <c r="L20" s="553"/>
      <c r="M20" s="553"/>
      <c r="N20" s="333"/>
      <c r="O20" s="331"/>
      <c r="P20" s="330"/>
    </row>
    <row r="21" spans="1:17" s="323" customFormat="1" ht="11.25" x14ac:dyDescent="0.2">
      <c r="A21" s="329"/>
      <c r="B21" s="471" t="s">
        <v>664</v>
      </c>
      <c r="C21" s="553">
        <v>0</v>
      </c>
      <c r="D21" s="553">
        <v>661247</v>
      </c>
      <c r="E21" s="553"/>
      <c r="F21" s="553">
        <v>0</v>
      </c>
      <c r="G21" s="553">
        <f>C21+D21-F21</f>
        <v>661247</v>
      </c>
      <c r="H21" s="553"/>
      <c r="I21" s="553">
        <v>0</v>
      </c>
      <c r="J21" s="553">
        <f>D21*50.4678/1000</f>
        <v>33371.681346599995</v>
      </c>
      <c r="K21" s="553"/>
      <c r="L21" s="553">
        <v>0</v>
      </c>
      <c r="M21" s="553">
        <f>+G21*SAL!$F$34/1000</f>
        <v>33371.681346599995</v>
      </c>
      <c r="N21" s="333"/>
      <c r="O21" s="331"/>
      <c r="P21" s="330"/>
    </row>
    <row r="22" spans="1:17" s="323" customFormat="1" ht="11.25" x14ac:dyDescent="0.2">
      <c r="A22" s="329"/>
      <c r="B22" s="505" t="s">
        <v>665</v>
      </c>
      <c r="C22" s="553"/>
      <c r="D22" s="553"/>
      <c r="E22" s="553"/>
      <c r="F22" s="553"/>
      <c r="G22" s="553"/>
      <c r="H22" s="553"/>
      <c r="I22" s="553"/>
      <c r="J22" s="553"/>
      <c r="K22" s="553"/>
      <c r="L22" s="553"/>
      <c r="M22" s="553"/>
      <c r="N22" s="333"/>
      <c r="O22" s="331"/>
      <c r="P22" s="330"/>
    </row>
    <row r="23" spans="1:17" s="323" customFormat="1" ht="11.25" x14ac:dyDescent="0.2">
      <c r="A23" s="329"/>
      <c r="B23" s="471" t="s">
        <v>664</v>
      </c>
      <c r="C23" s="553">
        <v>0</v>
      </c>
      <c r="D23" s="553">
        <v>1318569</v>
      </c>
      <c r="E23" s="553"/>
      <c r="F23" s="553">
        <v>0</v>
      </c>
      <c r="G23" s="553">
        <f>C23+D23-F23</f>
        <v>1318569</v>
      </c>
      <c r="H23" s="553"/>
      <c r="I23" s="553">
        <v>0</v>
      </c>
      <c r="J23" s="553">
        <f>D23*50.4678/1000</f>
        <v>66545.276578199991</v>
      </c>
      <c r="K23" s="553"/>
      <c r="L23" s="553">
        <v>0</v>
      </c>
      <c r="M23" s="553">
        <f>+G23*SAL!$F$34/1000</f>
        <v>66545.276578199991</v>
      </c>
      <c r="N23" s="333"/>
      <c r="O23" s="331"/>
      <c r="P23" s="330"/>
    </row>
    <row r="24" spans="1:17" s="323" customFormat="1" ht="11.25" x14ac:dyDescent="0.2">
      <c r="A24" s="329"/>
      <c r="B24" s="505" t="s">
        <v>663</v>
      </c>
      <c r="C24" s="553"/>
      <c r="D24" s="553"/>
      <c r="E24" s="553"/>
      <c r="F24" s="553"/>
      <c r="G24" s="553"/>
      <c r="H24" s="553"/>
      <c r="I24" s="553"/>
      <c r="J24" s="553"/>
      <c r="K24" s="553"/>
      <c r="L24" s="553"/>
      <c r="M24" s="553"/>
      <c r="N24" s="333"/>
      <c r="O24" s="331"/>
      <c r="P24" s="330"/>
    </row>
    <row r="25" spans="1:17" s="323" customFormat="1" ht="11.25" x14ac:dyDescent="0.2">
      <c r="A25" s="329"/>
      <c r="B25" s="471" t="s">
        <v>662</v>
      </c>
      <c r="C25" s="553">
        <v>0</v>
      </c>
      <c r="D25" s="553">
        <v>364413</v>
      </c>
      <c r="E25" s="553"/>
      <c r="F25" s="553">
        <v>0</v>
      </c>
      <c r="G25" s="553">
        <f>C25+D25-F25</f>
        <v>364413</v>
      </c>
      <c r="H25" s="553"/>
      <c r="I25" s="553">
        <v>0</v>
      </c>
      <c r="J25" s="553">
        <f>D25*50.4678/1000</f>
        <v>18391.1224014</v>
      </c>
      <c r="K25" s="553"/>
      <c r="L25" s="553">
        <v>0</v>
      </c>
      <c r="M25" s="553">
        <f>+G25*SAL!$F$34/1000</f>
        <v>18391.1224014</v>
      </c>
      <c r="N25" s="333"/>
      <c r="O25" s="331"/>
      <c r="P25" s="330"/>
    </row>
    <row r="26" spans="1:17" s="323" customFormat="1" ht="11.25" x14ac:dyDescent="0.2">
      <c r="A26" s="329"/>
      <c r="B26" s="505"/>
      <c r="C26" s="553"/>
      <c r="D26" s="553"/>
      <c r="E26" s="553"/>
      <c r="F26" s="553"/>
      <c r="G26" s="553"/>
      <c r="H26" s="553"/>
      <c r="I26" s="553"/>
      <c r="J26" s="553"/>
      <c r="K26" s="553"/>
      <c r="L26" s="553"/>
      <c r="M26" s="553"/>
      <c r="N26" s="333"/>
      <c r="O26" s="331"/>
      <c r="P26" s="330"/>
    </row>
    <row r="27" spans="1:17" s="323" customFormat="1" ht="11.25" x14ac:dyDescent="0.2">
      <c r="A27" s="329"/>
      <c r="B27" s="326" t="s">
        <v>415</v>
      </c>
      <c r="C27" s="553">
        <v>0</v>
      </c>
      <c r="D27" s="553">
        <v>417047</v>
      </c>
      <c r="E27" s="553"/>
      <c r="F27" s="553">
        <v>417046.47900000005</v>
      </c>
      <c r="G27" s="553">
        <f>C27+D27-F27</f>
        <v>0.52099999994970858</v>
      </c>
      <c r="H27" s="553"/>
      <c r="I27" s="553">
        <v>0</v>
      </c>
      <c r="J27" s="553">
        <v>21059.754519999999</v>
      </c>
      <c r="K27" s="553"/>
      <c r="L27" s="553">
        <v>21059.754519999999</v>
      </c>
      <c r="M27" s="553">
        <v>0</v>
      </c>
      <c r="O27" s="332"/>
    </row>
    <row r="28" spans="1:17" s="323" customFormat="1" ht="11.25" x14ac:dyDescent="0.2">
      <c r="A28" s="329"/>
      <c r="B28" s="326"/>
      <c r="C28" s="553"/>
      <c r="D28" s="553"/>
      <c r="E28" s="553"/>
      <c r="F28" s="553"/>
      <c r="G28" s="553"/>
      <c r="H28" s="553"/>
      <c r="I28" s="553"/>
      <c r="J28" s="553"/>
      <c r="K28" s="553"/>
      <c r="L28" s="553"/>
      <c r="M28" s="553"/>
    </row>
    <row r="29" spans="1:17" s="323" customFormat="1" ht="11.25" x14ac:dyDescent="0.2">
      <c r="A29" s="329"/>
      <c r="B29" s="326" t="s">
        <v>154</v>
      </c>
      <c r="C29" s="553"/>
      <c r="D29" s="553"/>
      <c r="E29" s="553"/>
      <c r="F29" s="553"/>
      <c r="G29" s="553"/>
      <c r="H29" s="553"/>
      <c r="I29" s="553"/>
      <c r="J29" s="553"/>
      <c r="K29" s="553"/>
      <c r="L29" s="553"/>
      <c r="M29" s="553"/>
    </row>
    <row r="30" spans="1:17" s="323" customFormat="1" ht="11.25" x14ac:dyDescent="0.2">
      <c r="A30" s="329"/>
      <c r="B30" s="400" t="s">
        <v>416</v>
      </c>
      <c r="C30" s="553">
        <v>98279</v>
      </c>
      <c r="D30" s="553">
        <v>7749627</v>
      </c>
      <c r="E30" s="553"/>
      <c r="F30" s="553">
        <v>5878854.568</v>
      </c>
      <c r="G30" s="553">
        <f>C30+D30-F30</f>
        <v>1969051.432</v>
      </c>
      <c r="H30" s="553"/>
      <c r="I30" s="553">
        <f>+C30*SAL!H34/1000</f>
        <v>4959.9249161999996</v>
      </c>
      <c r="J30" s="553">
        <v>391479.96516000014</v>
      </c>
      <c r="K30" s="553"/>
      <c r="L30" s="553">
        <v>297492.59106000001</v>
      </c>
      <c r="M30" s="553">
        <f>+G30*SAL!$F$34/1000</f>
        <v>99373.693859889594</v>
      </c>
      <c r="N30" s="331"/>
    </row>
    <row r="31" spans="1:17" s="323" customFormat="1" ht="11.25" x14ac:dyDescent="0.2">
      <c r="A31" s="329"/>
      <c r="B31" s="326"/>
      <c r="C31" s="553"/>
      <c r="D31" s="553"/>
      <c r="E31" s="553"/>
      <c r="F31" s="553"/>
      <c r="G31" s="553"/>
      <c r="H31" s="553"/>
      <c r="I31" s="553"/>
      <c r="J31" s="553"/>
      <c r="K31" s="553"/>
      <c r="L31" s="553"/>
      <c r="M31" s="553"/>
    </row>
    <row r="32" spans="1:17" s="323" customFormat="1" ht="11.25" x14ac:dyDescent="0.2">
      <c r="A32" s="329"/>
      <c r="B32" s="333" t="s">
        <v>660</v>
      </c>
      <c r="C32" s="553">
        <v>0</v>
      </c>
      <c r="D32" s="553">
        <v>79730063.225799993</v>
      </c>
      <c r="E32" s="553"/>
      <c r="F32" s="553">
        <v>0</v>
      </c>
      <c r="G32" s="553">
        <f>C32+D32-F32</f>
        <v>79730063.225799993</v>
      </c>
      <c r="H32" s="553"/>
      <c r="I32" s="553">
        <f>C32*[3]SAL!$H$36/1000</f>
        <v>0</v>
      </c>
      <c r="J32" s="553">
        <f>D32*50.4678/1000</f>
        <v>4023800.8848670288</v>
      </c>
      <c r="K32" s="553"/>
      <c r="L32" s="553">
        <v>0</v>
      </c>
      <c r="M32" s="553">
        <f>+G32*SAL!$F$34/1000</f>
        <v>4023800.8848670288</v>
      </c>
      <c r="O32" s="331"/>
      <c r="P32" s="330"/>
    </row>
    <row r="33" spans="1:13" s="323" customFormat="1" ht="11.25" x14ac:dyDescent="0.2">
      <c r="A33" s="329"/>
      <c r="B33" s="325"/>
      <c r="C33" s="328"/>
      <c r="D33" s="328"/>
      <c r="E33" s="328"/>
      <c r="F33" s="328"/>
      <c r="G33" s="328"/>
      <c r="H33" s="328"/>
      <c r="I33" s="328"/>
      <c r="J33" s="328"/>
      <c r="K33" s="328"/>
      <c r="L33" s="328"/>
      <c r="M33" s="328"/>
    </row>
    <row r="34" spans="1:13" s="323" customFormat="1" ht="11.25" x14ac:dyDescent="0.2">
      <c r="A34" s="329"/>
      <c r="B34" s="721" t="s">
        <v>669</v>
      </c>
      <c r="C34" s="328"/>
      <c r="D34" s="328"/>
      <c r="E34" s="328"/>
      <c r="F34" s="328"/>
      <c r="G34" s="328"/>
      <c r="H34" s="328"/>
      <c r="I34" s="328"/>
      <c r="J34" s="328"/>
      <c r="K34" s="328"/>
      <c r="L34" s="328"/>
      <c r="M34" s="328"/>
    </row>
    <row r="37" spans="1:13" ht="12.75" x14ac:dyDescent="0.25">
      <c r="B37" s="341"/>
      <c r="C37" s="786" t="s">
        <v>495</v>
      </c>
      <c r="D37" s="787"/>
      <c r="E37" s="787"/>
      <c r="F37" s="787"/>
      <c r="G37" s="787"/>
      <c r="H37" s="787"/>
      <c r="I37" s="787"/>
      <c r="J37" s="787"/>
      <c r="K37" s="787"/>
      <c r="L37" s="787"/>
      <c r="M37" s="787"/>
    </row>
    <row r="38" spans="1:13" ht="12.75" x14ac:dyDescent="0.2">
      <c r="B38" s="341"/>
      <c r="C38" s="732" t="s">
        <v>486</v>
      </c>
      <c r="D38" s="732" t="s">
        <v>145</v>
      </c>
      <c r="E38" s="732" t="s">
        <v>143</v>
      </c>
      <c r="F38" s="732" t="s">
        <v>142</v>
      </c>
      <c r="G38" s="732" t="s">
        <v>496</v>
      </c>
      <c r="H38" s="788"/>
      <c r="I38" s="732" t="s">
        <v>486</v>
      </c>
      <c r="J38" s="732" t="s">
        <v>144</v>
      </c>
      <c r="K38" s="732" t="s">
        <v>143</v>
      </c>
      <c r="L38" s="732" t="s">
        <v>142</v>
      </c>
      <c r="M38" s="732" t="s">
        <v>496</v>
      </c>
    </row>
    <row r="39" spans="1:13" ht="12.75" x14ac:dyDescent="0.2">
      <c r="B39" s="340"/>
      <c r="C39" s="733"/>
      <c r="D39" s="733"/>
      <c r="E39" s="733"/>
      <c r="F39" s="733"/>
      <c r="G39" s="733"/>
      <c r="H39" s="788"/>
      <c r="I39" s="733"/>
      <c r="J39" s="733"/>
      <c r="K39" s="733"/>
      <c r="L39" s="733"/>
      <c r="M39" s="733"/>
    </row>
    <row r="40" spans="1:13" ht="12.75" x14ac:dyDescent="0.25">
      <c r="B40" s="338"/>
      <c r="C40" s="734"/>
      <c r="D40" s="734"/>
      <c r="E40" s="734"/>
      <c r="F40" s="734"/>
      <c r="G40" s="734"/>
      <c r="H40" s="788"/>
      <c r="I40" s="734"/>
      <c r="J40" s="734"/>
      <c r="K40" s="734"/>
      <c r="L40" s="734"/>
      <c r="M40" s="734"/>
    </row>
    <row r="41" spans="1:13" ht="12.75" x14ac:dyDescent="0.25">
      <c r="B41" s="336"/>
      <c r="C41" s="789" t="s">
        <v>141</v>
      </c>
      <c r="D41" s="789"/>
      <c r="E41" s="789"/>
      <c r="F41" s="789"/>
      <c r="G41" s="789"/>
      <c r="H41" s="653"/>
      <c r="I41" s="789" t="s">
        <v>146</v>
      </c>
      <c r="J41" s="789"/>
      <c r="K41" s="789"/>
      <c r="L41" s="789"/>
      <c r="M41" s="789"/>
    </row>
    <row r="42" spans="1:13" x14ac:dyDescent="0.2">
      <c r="B42" s="325" t="s">
        <v>140</v>
      </c>
      <c r="C42" s="329"/>
      <c r="D42" s="329"/>
      <c r="E42" s="329"/>
      <c r="F42" s="329"/>
      <c r="G42" s="329"/>
      <c r="H42" s="329"/>
      <c r="I42" s="329"/>
      <c r="J42" s="329"/>
      <c r="K42" s="329"/>
      <c r="L42" s="329"/>
      <c r="M42" s="329"/>
    </row>
    <row r="43" spans="1:13" x14ac:dyDescent="0.2">
      <c r="B43" s="324" t="s">
        <v>417</v>
      </c>
      <c r="C43" s="329"/>
      <c r="D43" s="329"/>
      <c r="E43" s="329"/>
      <c r="F43" s="329"/>
      <c r="G43" s="329"/>
      <c r="H43" s="329"/>
      <c r="I43" s="329"/>
      <c r="J43" s="329"/>
      <c r="K43" s="329"/>
      <c r="L43" s="329"/>
      <c r="M43" s="329"/>
    </row>
    <row r="44" spans="1:13" x14ac:dyDescent="0.2">
      <c r="B44" s="470" t="s">
        <v>308</v>
      </c>
      <c r="C44" s="552">
        <v>44238.917099999999</v>
      </c>
      <c r="D44" s="552">
        <v>2108.8679999999999</v>
      </c>
      <c r="E44" s="552"/>
      <c r="F44" s="552">
        <v>0</v>
      </c>
      <c r="G44" s="552">
        <f>C44+D44-F44</f>
        <v>46347.785100000001</v>
      </c>
      <c r="H44" s="552"/>
      <c r="I44" s="552">
        <v>2229</v>
      </c>
      <c r="J44" s="553">
        <f>106253.85/1000</f>
        <v>106.25385</v>
      </c>
      <c r="K44" s="553"/>
      <c r="L44" s="553">
        <v>0</v>
      </c>
      <c r="M44" s="553">
        <v>2343</v>
      </c>
    </row>
    <row r="45" spans="1:13" x14ac:dyDescent="0.2">
      <c r="B45" s="324" t="s">
        <v>309</v>
      </c>
      <c r="C45" s="553"/>
      <c r="D45" s="553"/>
      <c r="E45" s="553"/>
      <c r="F45" s="553"/>
      <c r="G45" s="552"/>
      <c r="H45" s="553"/>
      <c r="I45" s="553"/>
      <c r="J45" s="553"/>
      <c r="K45" s="553"/>
      <c r="L45" s="553"/>
      <c r="M45" s="553"/>
    </row>
    <row r="46" spans="1:13" x14ac:dyDescent="0.2">
      <c r="B46" s="471" t="s">
        <v>310</v>
      </c>
      <c r="C46" s="553">
        <v>0</v>
      </c>
      <c r="D46" s="553">
        <v>1.651</v>
      </c>
      <c r="E46" s="553"/>
      <c r="F46" s="553">
        <v>1.651</v>
      </c>
      <c r="G46" s="552">
        <f>C46+D46-F46</f>
        <v>0</v>
      </c>
      <c r="H46" s="553"/>
      <c r="I46" s="552">
        <f>+(C46*$O$19)/1000</f>
        <v>0</v>
      </c>
      <c r="J46" s="553">
        <v>0</v>
      </c>
      <c r="K46" s="553"/>
      <c r="L46" s="553">
        <v>0</v>
      </c>
      <c r="M46" s="553">
        <f>(G46*$N$19)/1000</f>
        <v>0</v>
      </c>
    </row>
    <row r="47" spans="1:13" x14ac:dyDescent="0.2">
      <c r="B47" s="505"/>
      <c r="C47" s="553"/>
      <c r="D47" s="553"/>
      <c r="E47" s="553"/>
      <c r="F47" s="553"/>
      <c r="G47" s="553"/>
      <c r="H47" s="553"/>
      <c r="I47" s="553"/>
      <c r="J47" s="553"/>
      <c r="K47" s="553"/>
      <c r="L47" s="553"/>
      <c r="M47" s="553"/>
    </row>
    <row r="48" spans="1:13" x14ac:dyDescent="0.2">
      <c r="B48" s="325" t="s">
        <v>415</v>
      </c>
      <c r="C48" s="553">
        <v>0</v>
      </c>
      <c r="D48" s="553">
        <v>12957.7893</v>
      </c>
      <c r="E48" s="553"/>
      <c r="F48" s="553">
        <v>12957.752</v>
      </c>
      <c r="G48" s="552">
        <v>0</v>
      </c>
      <c r="H48" s="553"/>
      <c r="I48" s="553">
        <v>0</v>
      </c>
      <c r="J48" s="553">
        <v>653.1622000000001</v>
      </c>
      <c r="K48" s="553"/>
      <c r="L48" s="553">
        <v>653.94516999999996</v>
      </c>
      <c r="M48" s="553">
        <v>0</v>
      </c>
    </row>
    <row r="49" spans="2:13" x14ac:dyDescent="0.2">
      <c r="B49" s="325"/>
      <c r="C49" s="553"/>
      <c r="D49" s="553"/>
      <c r="E49" s="553"/>
      <c r="F49" s="553"/>
      <c r="G49" s="553"/>
      <c r="H49" s="553"/>
      <c r="I49" s="553"/>
      <c r="J49" s="553"/>
      <c r="K49" s="553"/>
      <c r="L49" s="553"/>
      <c r="M49" s="553"/>
    </row>
    <row r="50" spans="2:13" x14ac:dyDescent="0.2">
      <c r="B50" s="325" t="s">
        <v>154</v>
      </c>
      <c r="C50" s="553"/>
      <c r="D50" s="553"/>
      <c r="E50" s="553"/>
      <c r="F50" s="553"/>
      <c r="G50" s="553"/>
      <c r="H50" s="553"/>
      <c r="I50" s="553"/>
      <c r="J50" s="553"/>
      <c r="K50" s="553"/>
      <c r="L50" s="553"/>
      <c r="M50" s="553"/>
    </row>
    <row r="51" spans="2:13" x14ac:dyDescent="0.2">
      <c r="B51" s="471" t="s">
        <v>416</v>
      </c>
      <c r="C51" s="553">
        <v>0</v>
      </c>
      <c r="D51" s="553">
        <v>37616966.712999985</v>
      </c>
      <c r="E51" s="553"/>
      <c r="F51" s="553">
        <v>37236434.362999998</v>
      </c>
      <c r="G51" s="552">
        <f>C51+D51-F51</f>
        <v>380532.34999998659</v>
      </c>
      <c r="H51" s="553"/>
      <c r="I51" s="553">
        <v>0</v>
      </c>
      <c r="J51" s="553">
        <v>1949311.8671699998</v>
      </c>
      <c r="K51" s="553"/>
      <c r="L51" s="554">
        <v>1930744.7803499999</v>
      </c>
      <c r="M51" s="553">
        <v>19234</v>
      </c>
    </row>
    <row r="52" spans="2:13" x14ac:dyDescent="0.2">
      <c r="B52" s="325"/>
      <c r="C52" s="553"/>
      <c r="D52" s="553"/>
      <c r="E52" s="553"/>
      <c r="F52" s="553"/>
      <c r="G52" s="553"/>
      <c r="H52" s="553"/>
      <c r="I52" s="553"/>
      <c r="J52" s="553" t="s">
        <v>511</v>
      </c>
      <c r="K52" s="553"/>
      <c r="L52" s="553"/>
      <c r="M52" s="553"/>
    </row>
    <row r="53" spans="2:13" x14ac:dyDescent="0.2">
      <c r="B53" s="323" t="s">
        <v>516</v>
      </c>
      <c r="C53" s="553">
        <v>0</v>
      </c>
      <c r="D53" s="553">
        <v>35042761.4463</v>
      </c>
      <c r="E53" s="553"/>
      <c r="F53" s="553">
        <v>0</v>
      </c>
      <c r="G53" s="553">
        <v>35042761.4463</v>
      </c>
      <c r="H53" s="553">
        <v>0</v>
      </c>
      <c r="I53" s="553">
        <v>0</v>
      </c>
      <c r="J53" s="553">
        <v>1766050.882</v>
      </c>
      <c r="K53" s="553"/>
      <c r="L53" s="553">
        <v>0</v>
      </c>
      <c r="M53" s="553">
        <v>1771229.3687509443</v>
      </c>
    </row>
    <row r="54" spans="2:13" x14ac:dyDescent="0.2">
      <c r="B54" s="325"/>
      <c r="C54" s="328"/>
      <c r="D54" s="328"/>
      <c r="E54" s="328"/>
      <c r="F54" s="328"/>
      <c r="G54" s="328"/>
      <c r="H54" s="328"/>
      <c r="I54" s="328"/>
      <c r="J54" s="328"/>
      <c r="K54" s="328"/>
      <c r="L54" s="328"/>
      <c r="M54" s="328"/>
    </row>
    <row r="55" spans="2:13" x14ac:dyDescent="0.2">
      <c r="B55" s="325" t="s">
        <v>517</v>
      </c>
      <c r="C55" s="328"/>
      <c r="D55" s="328"/>
      <c r="E55" s="328"/>
      <c r="F55" s="328"/>
      <c r="G55" s="328"/>
      <c r="H55" s="328"/>
      <c r="I55" s="328"/>
      <c r="J55" s="328"/>
      <c r="K55" s="328"/>
      <c r="L55" s="328"/>
      <c r="M55" s="328"/>
    </row>
  </sheetData>
  <mergeCells count="31">
    <mergeCell ref="C16:G16"/>
    <mergeCell ref="I16:M16"/>
    <mergeCell ref="L38:L40"/>
    <mergeCell ref="M38:M40"/>
    <mergeCell ref="C41:G41"/>
    <mergeCell ref="I41:M41"/>
    <mergeCell ref="C37:M37"/>
    <mergeCell ref="C38:C40"/>
    <mergeCell ref="D38:D40"/>
    <mergeCell ref="E38:E40"/>
    <mergeCell ref="F38:F40"/>
    <mergeCell ref="G38:G40"/>
    <mergeCell ref="H38:H40"/>
    <mergeCell ref="I38:I40"/>
    <mergeCell ref="J38:J40"/>
    <mergeCell ref="K38:K40"/>
    <mergeCell ref="A3:M4"/>
    <mergeCell ref="A6:M7"/>
    <mergeCell ref="A9:M10"/>
    <mergeCell ref="C12:M12"/>
    <mergeCell ref="C13:C15"/>
    <mergeCell ref="D13:D15"/>
    <mergeCell ref="E13:E15"/>
    <mergeCell ref="F13:F15"/>
    <mergeCell ref="G13:G15"/>
    <mergeCell ref="H13:H15"/>
    <mergeCell ref="L13:L15"/>
    <mergeCell ref="I13:I15"/>
    <mergeCell ref="J13:J15"/>
    <mergeCell ref="K13:K15"/>
    <mergeCell ref="M13:M15"/>
  </mergeCells>
  <printOptions horizontalCentered="1"/>
  <pageMargins left="0.75" right="0.5" top="0.5" bottom="0.4" header="0.25" footer="0"/>
  <pageSetup paperSize="9"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X150"/>
  <sheetViews>
    <sheetView showGridLines="0" topLeftCell="E16" workbookViewId="0">
      <selection activeCell="L33" sqref="L33"/>
    </sheetView>
  </sheetViews>
  <sheetFormatPr defaultColWidth="9" defaultRowHeight="11.25" x14ac:dyDescent="0.2"/>
  <cols>
    <col min="1" max="1" width="5.125" style="690" customWidth="1"/>
    <col min="2" max="2" width="14.625" style="690" customWidth="1"/>
    <col min="3" max="3" width="0.625" style="690" customWidth="1"/>
    <col min="4" max="4" width="13.125" style="690" bestFit="1" customWidth="1"/>
    <col min="5" max="5" width="0.625" style="690" customWidth="1"/>
    <col min="6" max="6" width="9.625" style="690" bestFit="1" customWidth="1"/>
    <col min="7" max="7" width="0.625" style="690" customWidth="1"/>
    <col min="8" max="8" width="13.625" style="690" bestFit="1" customWidth="1"/>
    <col min="9" max="9" width="0.625" style="690" customWidth="1"/>
    <col min="10" max="10" width="8.625" style="690" customWidth="1"/>
    <col min="11" max="11" width="10.5" style="690" bestFit="1" customWidth="1"/>
    <col min="12" max="12" width="9" style="690"/>
    <col min="13" max="13" width="15" style="690" bestFit="1" customWidth="1"/>
    <col min="14" max="14" width="15" style="690" customWidth="1"/>
    <col min="15" max="15" width="6.125" style="690" customWidth="1"/>
    <col min="16" max="16" width="1.125" style="690" customWidth="1"/>
    <col min="17" max="17" width="15" style="690" customWidth="1"/>
    <col min="18" max="18" width="9" style="690"/>
    <col min="19" max="19" width="1.125" style="690" customWidth="1"/>
    <col min="20" max="20" width="15" style="690" customWidth="1"/>
    <col min="21" max="21" width="6.125" style="690" customWidth="1"/>
    <col min="22" max="22" width="1.125" style="690" customWidth="1"/>
    <col min="23" max="23" width="15" style="690" customWidth="1"/>
    <col min="24" max="24" width="9.5" style="690" bestFit="1" customWidth="1"/>
    <col min="25" max="16384" width="9" style="690"/>
  </cols>
  <sheetData>
    <row r="2" spans="2:24" x14ac:dyDescent="0.2">
      <c r="B2" s="708"/>
      <c r="C2" s="709"/>
      <c r="D2" s="709"/>
      <c r="E2" s="709"/>
      <c r="F2" s="709"/>
      <c r="G2" s="709"/>
      <c r="H2" s="709"/>
      <c r="I2" s="709"/>
      <c r="J2" s="710"/>
    </row>
    <row r="4" spans="2:24" ht="15.75" x14ac:dyDescent="0.25">
      <c r="B4" s="403">
        <v>44482</v>
      </c>
      <c r="D4" s="472">
        <v>1775650.64</v>
      </c>
      <c r="F4" s="403">
        <v>44628</v>
      </c>
      <c r="H4" s="472">
        <v>1172492</v>
      </c>
    </row>
    <row r="5" spans="2:24" ht="15.75" x14ac:dyDescent="0.25">
      <c r="B5" s="403">
        <v>44483</v>
      </c>
      <c r="D5" s="472">
        <v>1851790.79</v>
      </c>
      <c r="F5" s="403">
        <v>44629</v>
      </c>
      <c r="H5" s="472">
        <v>1407528.41</v>
      </c>
    </row>
    <row r="6" spans="2:24" ht="15.75" x14ac:dyDescent="0.25">
      <c r="B6" s="403">
        <v>44484</v>
      </c>
      <c r="D6" s="472">
        <v>1409804.76</v>
      </c>
      <c r="F6" s="403">
        <v>44630</v>
      </c>
      <c r="H6" s="472">
        <v>1576573.79</v>
      </c>
    </row>
    <row r="7" spans="2:24" ht="15.75" x14ac:dyDescent="0.25">
      <c r="B7" s="403">
        <v>44485</v>
      </c>
      <c r="D7" s="472">
        <v>1831732.01</v>
      </c>
      <c r="F7" s="403">
        <v>44631</v>
      </c>
      <c r="H7" s="472">
        <v>1664340.36</v>
      </c>
    </row>
    <row r="8" spans="2:24" ht="15.75" x14ac:dyDescent="0.25">
      <c r="B8" s="403">
        <v>44486</v>
      </c>
      <c r="D8" s="472">
        <v>1825971.44</v>
      </c>
      <c r="F8" s="403">
        <v>44632</v>
      </c>
      <c r="H8" s="472">
        <v>1668694.03</v>
      </c>
    </row>
    <row r="9" spans="2:24" ht="15.75" x14ac:dyDescent="0.25">
      <c r="B9" s="403">
        <v>44487</v>
      </c>
      <c r="D9" s="472">
        <v>1416883.42</v>
      </c>
      <c r="F9" s="403">
        <v>44633</v>
      </c>
      <c r="H9" s="472">
        <v>1669173.98</v>
      </c>
    </row>
    <row r="10" spans="2:24" ht="15.75" x14ac:dyDescent="0.25">
      <c r="B10" s="403">
        <v>44488</v>
      </c>
      <c r="D10" s="472">
        <v>1498121.76</v>
      </c>
      <c r="F10" s="403">
        <v>44634</v>
      </c>
      <c r="H10" s="472">
        <v>1867338.97</v>
      </c>
    </row>
    <row r="11" spans="2:24" ht="15.75" x14ac:dyDescent="0.25">
      <c r="B11" s="403">
        <v>44489</v>
      </c>
      <c r="D11" s="472">
        <v>1582836.44</v>
      </c>
      <c r="F11" s="403">
        <v>44635</v>
      </c>
      <c r="H11" s="472">
        <v>1895985.54</v>
      </c>
    </row>
    <row r="12" spans="2:24" ht="15.75" x14ac:dyDescent="0.25">
      <c r="B12" s="403">
        <v>44490</v>
      </c>
      <c r="D12" s="472">
        <v>482353.05</v>
      </c>
      <c r="F12" s="403">
        <v>44636</v>
      </c>
      <c r="H12" s="473">
        <v>1861209.32</v>
      </c>
    </row>
    <row r="13" spans="2:24" ht="15.75" x14ac:dyDescent="0.25">
      <c r="B13" s="403">
        <v>44491</v>
      </c>
      <c r="C13" s="711"/>
      <c r="D13" s="472">
        <v>1629088.26</v>
      </c>
      <c r="E13" s="711"/>
      <c r="F13" s="403">
        <v>44637</v>
      </c>
      <c r="G13" s="711"/>
      <c r="H13" s="473">
        <v>1909980.53</v>
      </c>
      <c r="I13" s="711"/>
      <c r="J13" s="711"/>
    </row>
    <row r="14" spans="2:24" ht="21" customHeight="1" x14ac:dyDescent="0.25">
      <c r="B14" s="403">
        <v>44492</v>
      </c>
      <c r="C14" s="711"/>
      <c r="D14" s="472">
        <v>1791594.99</v>
      </c>
      <c r="E14" s="711"/>
      <c r="F14" s="403">
        <v>44638</v>
      </c>
      <c r="G14" s="711"/>
      <c r="H14" s="473">
        <v>3438685.84</v>
      </c>
      <c r="I14" s="711"/>
      <c r="J14" s="711"/>
    </row>
    <row r="15" spans="2:24" ht="23.25" customHeight="1" x14ac:dyDescent="0.25">
      <c r="B15" s="403">
        <v>44493</v>
      </c>
      <c r="D15" s="472">
        <v>1785352.76</v>
      </c>
      <c r="F15" s="403">
        <v>44639</v>
      </c>
      <c r="H15" s="473">
        <v>3438532.04</v>
      </c>
      <c r="K15" s="792"/>
      <c r="N15" s="793" t="s">
        <v>889</v>
      </c>
      <c r="O15" s="794"/>
      <c r="P15" s="794"/>
      <c r="Q15" s="794"/>
      <c r="R15" s="795"/>
      <c r="S15" s="691"/>
      <c r="T15" s="793" t="s">
        <v>890</v>
      </c>
      <c r="U15" s="794"/>
      <c r="V15" s="794"/>
      <c r="W15" s="794"/>
      <c r="X15" s="795"/>
    </row>
    <row r="16" spans="2:24" ht="33" customHeight="1" x14ac:dyDescent="0.25">
      <c r="B16" s="403">
        <v>44494</v>
      </c>
      <c r="D16" s="472">
        <v>1420420.74</v>
      </c>
      <c r="F16" s="403">
        <v>44640</v>
      </c>
      <c r="H16" s="473">
        <v>3438606.01</v>
      </c>
      <c r="K16" s="792"/>
      <c r="N16" s="793" t="s">
        <v>888</v>
      </c>
      <c r="O16" s="794"/>
      <c r="P16" s="794"/>
      <c r="Q16" s="794"/>
      <c r="R16" s="795"/>
      <c r="S16" s="691"/>
      <c r="T16" s="793" t="s">
        <v>887</v>
      </c>
      <c r="U16" s="794"/>
      <c r="V16" s="794"/>
      <c r="W16" s="794"/>
      <c r="X16" s="795"/>
    </row>
    <row r="17" spans="2:24" ht="33.75" x14ac:dyDescent="0.25">
      <c r="B17" s="403">
        <v>44495</v>
      </c>
      <c r="D17" s="472">
        <v>1626537.14</v>
      </c>
      <c r="F17" s="403">
        <v>44641</v>
      </c>
      <c r="H17" s="473">
        <v>3443313.96</v>
      </c>
      <c r="N17" s="790" t="s">
        <v>683</v>
      </c>
      <c r="O17" s="692" t="s">
        <v>684</v>
      </c>
      <c r="P17" s="693"/>
      <c r="Q17" s="790" t="s">
        <v>683</v>
      </c>
      <c r="R17" s="692" t="s">
        <v>684</v>
      </c>
      <c r="S17" s="691"/>
      <c r="T17" s="790" t="s">
        <v>683</v>
      </c>
      <c r="U17" s="692" t="s">
        <v>684</v>
      </c>
      <c r="V17" s="694"/>
      <c r="W17" s="790" t="s">
        <v>683</v>
      </c>
      <c r="X17" s="692" t="s">
        <v>684</v>
      </c>
    </row>
    <row r="18" spans="2:24" ht="15.75" x14ac:dyDescent="0.25">
      <c r="B18" s="403">
        <v>44496</v>
      </c>
      <c r="D18" s="472">
        <v>1729740.07</v>
      </c>
      <c r="F18" s="403">
        <v>44642</v>
      </c>
      <c r="H18" s="473">
        <v>4726367.55</v>
      </c>
      <c r="N18" s="791"/>
      <c r="O18" s="695" t="s">
        <v>59</v>
      </c>
      <c r="P18" s="693"/>
      <c r="Q18" s="791"/>
      <c r="R18" s="695" t="s">
        <v>59</v>
      </c>
      <c r="S18" s="691"/>
      <c r="T18" s="791"/>
      <c r="U18" s="695" t="s">
        <v>59</v>
      </c>
      <c r="V18" s="694"/>
      <c r="W18" s="791"/>
      <c r="X18" s="695" t="s">
        <v>59</v>
      </c>
    </row>
    <row r="19" spans="2:24" ht="8.1" customHeight="1" x14ac:dyDescent="0.25">
      <c r="B19" s="403">
        <v>44497</v>
      </c>
      <c r="D19" s="472">
        <v>1638375.51</v>
      </c>
      <c r="F19" s="403">
        <v>44643</v>
      </c>
      <c r="H19" s="473">
        <v>4726363.04</v>
      </c>
      <c r="N19" s="691"/>
      <c r="O19" s="696"/>
      <c r="P19" s="691"/>
      <c r="Q19" s="688"/>
      <c r="R19" s="697"/>
      <c r="S19" s="691"/>
      <c r="T19" s="691"/>
      <c r="U19" s="691"/>
      <c r="V19" s="691"/>
      <c r="W19" s="691"/>
      <c r="X19" s="691"/>
    </row>
    <row r="20" spans="2:24" ht="15.75" x14ac:dyDescent="0.25">
      <c r="B20" s="403">
        <v>44498</v>
      </c>
      <c r="D20" s="472">
        <v>1142089.18</v>
      </c>
      <c r="F20" s="403">
        <v>44644</v>
      </c>
      <c r="H20" s="473">
        <v>4793207.03</v>
      </c>
      <c r="N20" s="698">
        <v>44482</v>
      </c>
      <c r="O20" s="699">
        <v>1.01E-2</v>
      </c>
      <c r="P20" s="691"/>
      <c r="Q20" s="698">
        <v>44532</v>
      </c>
      <c r="R20" s="699">
        <v>1.2500000000000001E-2</v>
      </c>
      <c r="S20" s="691"/>
      <c r="T20" s="698">
        <f>Q69+1</f>
        <v>44582</v>
      </c>
      <c r="U20" s="699">
        <v>1.0874288388069942E-2</v>
      </c>
      <c r="V20" s="691"/>
      <c r="W20" s="698">
        <f>T69+1</f>
        <v>44633</v>
      </c>
      <c r="X20" s="704">
        <v>1.5785300383243873E-2</v>
      </c>
    </row>
    <row r="21" spans="2:24" ht="15.75" x14ac:dyDescent="0.25">
      <c r="B21" s="403">
        <v>44499</v>
      </c>
      <c r="D21" s="472">
        <v>1482201.04</v>
      </c>
      <c r="F21" s="403">
        <v>44645</v>
      </c>
      <c r="H21" s="473">
        <v>5154962.18</v>
      </c>
      <c r="N21" s="698">
        <f>+N20+1</f>
        <v>44483</v>
      </c>
      <c r="O21" s="699">
        <v>1.0500000000000001E-2</v>
      </c>
      <c r="P21" s="691"/>
      <c r="Q21" s="698">
        <v>44533</v>
      </c>
      <c r="R21" s="699">
        <v>1.2500000000000001E-2</v>
      </c>
      <c r="S21" s="691"/>
      <c r="T21" s="698">
        <f>T20+1</f>
        <v>44583</v>
      </c>
      <c r="U21" s="699">
        <v>1.3474060504643785E-2</v>
      </c>
      <c r="V21" s="691"/>
      <c r="W21" s="698">
        <f>W20+1</f>
        <v>44634</v>
      </c>
      <c r="X21" s="704">
        <v>1.5754792565475781E-2</v>
      </c>
    </row>
    <row r="22" spans="2:24" ht="15.75" x14ac:dyDescent="0.25">
      <c r="B22" s="403">
        <v>44500</v>
      </c>
      <c r="D22" s="472">
        <v>1481913.01</v>
      </c>
      <c r="F22" s="403">
        <v>44646</v>
      </c>
      <c r="H22" s="473">
        <v>5151692.32</v>
      </c>
      <c r="N22" s="698">
        <f t="shared" ref="N22:N44" si="0">+N21+1</f>
        <v>44484</v>
      </c>
      <c r="O22" s="699">
        <v>8.0000000000000002E-3</v>
      </c>
      <c r="P22" s="691"/>
      <c r="Q22" s="698">
        <v>44534</v>
      </c>
      <c r="R22" s="699">
        <v>1.24E-2</v>
      </c>
      <c r="S22" s="691"/>
      <c r="T22" s="698">
        <f t="shared" ref="T22:T69" si="1">T21+1</f>
        <v>44584</v>
      </c>
      <c r="U22" s="699">
        <v>1.3427666969828453E-2</v>
      </c>
      <c r="V22" s="691"/>
      <c r="W22" s="698">
        <f>W21+1</f>
        <v>44635</v>
      </c>
      <c r="X22" s="704">
        <v>1.5790141494507127E-2</v>
      </c>
    </row>
    <row r="23" spans="2:24" ht="15.75" x14ac:dyDescent="0.25">
      <c r="B23" s="403">
        <v>44501</v>
      </c>
      <c r="D23" s="472">
        <v>1544301.7</v>
      </c>
      <c r="F23" s="403">
        <v>44647</v>
      </c>
      <c r="H23" s="473">
        <v>6331800.7400000002</v>
      </c>
      <c r="N23" s="698">
        <f t="shared" si="0"/>
        <v>44485</v>
      </c>
      <c r="O23" s="699">
        <v>1.04E-2</v>
      </c>
      <c r="P23" s="691"/>
      <c r="Q23" s="698">
        <v>44535</v>
      </c>
      <c r="R23" s="699">
        <v>1.24E-2</v>
      </c>
      <c r="S23" s="691"/>
      <c r="T23" s="698">
        <f t="shared" si="1"/>
        <v>44585</v>
      </c>
      <c r="U23" s="699">
        <v>1.2427934187355725E-2</v>
      </c>
      <c r="V23" s="691"/>
      <c r="W23" s="698">
        <f t="shared" ref="W23:W38" si="2">W22+1</f>
        <v>44636</v>
      </c>
      <c r="X23" s="704">
        <v>1.5777639104169634E-2</v>
      </c>
    </row>
    <row r="24" spans="2:24" ht="15.75" x14ac:dyDescent="0.25">
      <c r="B24" s="403">
        <v>44502</v>
      </c>
      <c r="D24" s="472">
        <v>1537712.63</v>
      </c>
      <c r="F24" s="403">
        <v>44648</v>
      </c>
      <c r="H24" s="473">
        <v>4128770.88</v>
      </c>
      <c r="N24" s="698">
        <f t="shared" si="0"/>
        <v>44486</v>
      </c>
      <c r="O24" s="699">
        <v>1.04E-2</v>
      </c>
      <c r="P24" s="691"/>
      <c r="Q24" s="698">
        <v>44536</v>
      </c>
      <c r="R24" s="699">
        <v>1.17E-2</v>
      </c>
      <c r="S24" s="691"/>
      <c r="T24" s="698">
        <f t="shared" si="1"/>
        <v>44586</v>
      </c>
      <c r="U24" s="702">
        <v>1.6247410542320612E-2</v>
      </c>
      <c r="V24" s="691"/>
      <c r="W24" s="698">
        <f t="shared" si="2"/>
        <v>44637</v>
      </c>
      <c r="X24" s="716">
        <v>1.6082534784243218E-2</v>
      </c>
    </row>
    <row r="25" spans="2:24" ht="15.75" x14ac:dyDescent="0.25">
      <c r="B25" s="403">
        <v>44503</v>
      </c>
      <c r="D25" s="472">
        <v>1525910.05</v>
      </c>
      <c r="F25" s="403">
        <v>44649</v>
      </c>
      <c r="H25" s="473">
        <v>5030253.3600000003</v>
      </c>
      <c r="N25" s="698">
        <f t="shared" si="0"/>
        <v>44487</v>
      </c>
      <c r="O25" s="699">
        <v>8.2000000000000007E-3</v>
      </c>
      <c r="P25" s="691"/>
      <c r="Q25" s="698">
        <v>44537</v>
      </c>
      <c r="R25" s="699">
        <v>1.26E-2</v>
      </c>
      <c r="S25" s="691"/>
      <c r="T25" s="698">
        <f t="shared" si="1"/>
        <v>44587</v>
      </c>
      <c r="U25" s="702">
        <v>1.334955526259589E-2</v>
      </c>
      <c r="V25" s="691"/>
      <c r="W25" s="698">
        <f t="shared" si="2"/>
        <v>44638</v>
      </c>
      <c r="X25" s="717">
        <v>1.6111337785885884E-2</v>
      </c>
    </row>
    <row r="26" spans="2:24" ht="15.75" x14ac:dyDescent="0.25">
      <c r="B26" s="403">
        <v>44504</v>
      </c>
      <c r="D26" s="472">
        <v>1554399.92</v>
      </c>
      <c r="F26" s="403">
        <v>44650</v>
      </c>
      <c r="H26" s="473">
        <v>5055894.6399999997</v>
      </c>
      <c r="N26" s="698">
        <f t="shared" si="0"/>
        <v>44488</v>
      </c>
      <c r="O26" s="699">
        <v>8.6999999999999994E-3</v>
      </c>
      <c r="P26" s="691"/>
      <c r="Q26" s="698">
        <v>44538</v>
      </c>
      <c r="R26" s="699">
        <v>1.2699999999999999E-2</v>
      </c>
      <c r="S26" s="691"/>
      <c r="T26" s="698">
        <f t="shared" si="1"/>
        <v>44588</v>
      </c>
      <c r="U26" s="702">
        <v>1.5790556537161705E-2</v>
      </c>
      <c r="V26" s="691"/>
      <c r="W26" s="698">
        <f t="shared" si="2"/>
        <v>44639</v>
      </c>
      <c r="X26" s="717">
        <v>1.610626222357953E-2</v>
      </c>
    </row>
    <row r="27" spans="2:24" ht="15.75" x14ac:dyDescent="0.25">
      <c r="B27" s="403">
        <v>44505</v>
      </c>
      <c r="D27" s="472">
        <v>1550482.38</v>
      </c>
      <c r="F27" s="403">
        <v>44651</v>
      </c>
      <c r="H27" s="473">
        <v>5570025.8799999999</v>
      </c>
      <c r="N27" s="698">
        <f t="shared" si="0"/>
        <v>44489</v>
      </c>
      <c r="O27" s="699">
        <v>8.8000000000000005E-3</v>
      </c>
      <c r="P27" s="691"/>
      <c r="Q27" s="698">
        <v>44539</v>
      </c>
      <c r="R27" s="699">
        <v>1.2699999999999999E-2</v>
      </c>
      <c r="S27" s="691"/>
      <c r="T27" s="698">
        <f t="shared" si="1"/>
        <v>44589</v>
      </c>
      <c r="U27" s="702">
        <v>1.3617614982302821E-2</v>
      </c>
      <c r="V27" s="691"/>
      <c r="W27" s="698">
        <f t="shared" si="2"/>
        <v>44640</v>
      </c>
      <c r="X27" s="717">
        <v>1.6102181489445984E-2</v>
      </c>
    </row>
    <row r="28" spans="2:24" ht="15.75" x14ac:dyDescent="0.25">
      <c r="B28" s="403">
        <v>44506</v>
      </c>
      <c r="D28" s="472">
        <v>1538798.1</v>
      </c>
      <c r="F28" s="403"/>
      <c r="H28" s="473">
        <f>SUM(H4:H27)</f>
        <v>81121792.400000006</v>
      </c>
      <c r="N28" s="698">
        <f t="shared" si="0"/>
        <v>44490</v>
      </c>
      <c r="O28" s="699">
        <v>2.8999999999999998E-3</v>
      </c>
      <c r="P28" s="691"/>
      <c r="Q28" s="698">
        <v>44540</v>
      </c>
      <c r="R28" s="699">
        <v>1.26E-2</v>
      </c>
      <c r="S28" s="691"/>
      <c r="T28" s="698">
        <f t="shared" si="1"/>
        <v>44590</v>
      </c>
      <c r="U28" s="699">
        <v>1.3614176890125177E-2</v>
      </c>
      <c r="V28" s="691"/>
      <c r="W28" s="698">
        <f t="shared" si="2"/>
        <v>44641</v>
      </c>
      <c r="X28" s="717">
        <v>1.6105766814972246E-2</v>
      </c>
    </row>
    <row r="29" spans="2:24" ht="15.75" x14ac:dyDescent="0.25">
      <c r="B29" s="403">
        <v>44507</v>
      </c>
      <c r="D29" s="472">
        <v>1540718.01</v>
      </c>
      <c r="F29" s="403"/>
      <c r="H29" s="707">
        <f>H28/1000</f>
        <v>81121.792400000006</v>
      </c>
      <c r="N29" s="698">
        <f t="shared" si="0"/>
        <v>44491</v>
      </c>
      <c r="O29" s="699">
        <v>0.01</v>
      </c>
      <c r="P29" s="691"/>
      <c r="Q29" s="698">
        <v>44541</v>
      </c>
      <c r="R29" s="699">
        <v>1.26E-2</v>
      </c>
      <c r="S29" s="691"/>
      <c r="T29" s="698">
        <f t="shared" si="1"/>
        <v>44591</v>
      </c>
      <c r="U29" s="702">
        <v>1.3579717351280047E-2</v>
      </c>
      <c r="V29" s="691"/>
      <c r="W29" s="698">
        <f t="shared" si="2"/>
        <v>44642</v>
      </c>
      <c r="X29" s="717">
        <v>1.6146662511372551E-2</v>
      </c>
    </row>
    <row r="30" spans="2:24" ht="15.75" x14ac:dyDescent="0.25">
      <c r="B30" s="403">
        <v>44508</v>
      </c>
      <c r="D30" s="472">
        <v>1609807.27</v>
      </c>
      <c r="F30" s="403"/>
      <c r="N30" s="698">
        <f t="shared" si="0"/>
        <v>44492</v>
      </c>
      <c r="O30" s="699">
        <v>1.0999999999999999E-2</v>
      </c>
      <c r="P30" s="691"/>
      <c r="Q30" s="698">
        <v>44542</v>
      </c>
      <c r="R30" s="699">
        <v>1.26E-2</v>
      </c>
      <c r="S30" s="691"/>
      <c r="T30" s="698">
        <f t="shared" si="1"/>
        <v>44592</v>
      </c>
      <c r="U30" s="702">
        <v>1.0557778358083424E-2</v>
      </c>
      <c r="V30" s="691"/>
      <c r="W30" s="698">
        <f t="shared" si="2"/>
        <v>44643</v>
      </c>
      <c r="X30" s="717">
        <v>1.6142235686717434E-2</v>
      </c>
    </row>
    <row r="31" spans="2:24" ht="15.75" x14ac:dyDescent="0.25">
      <c r="B31" s="403">
        <v>44509</v>
      </c>
      <c r="D31" s="472">
        <v>1526271.26</v>
      </c>
      <c r="F31" s="403"/>
      <c r="N31" s="698">
        <f t="shared" si="0"/>
        <v>44493</v>
      </c>
      <c r="O31" s="699">
        <v>1.09E-2</v>
      </c>
      <c r="P31" s="691"/>
      <c r="Q31" s="698">
        <v>44543</v>
      </c>
      <c r="R31" s="699">
        <v>1.41E-2</v>
      </c>
      <c r="S31" s="691"/>
      <c r="T31" s="698">
        <f t="shared" si="1"/>
        <v>44593</v>
      </c>
      <c r="U31" s="702">
        <v>1.2170170213953226E-2</v>
      </c>
      <c r="V31" s="691"/>
      <c r="W31" s="698">
        <f t="shared" si="2"/>
        <v>44644</v>
      </c>
      <c r="X31" s="717">
        <v>1.6310975723810676E-2</v>
      </c>
    </row>
    <row r="32" spans="2:24" ht="15.75" x14ac:dyDescent="0.25">
      <c r="B32" s="403">
        <v>44510</v>
      </c>
      <c r="D32" s="472">
        <v>1553569.22</v>
      </c>
      <c r="F32" s="403"/>
      <c r="N32" s="698">
        <f t="shared" si="0"/>
        <v>44494</v>
      </c>
      <c r="O32" s="699">
        <v>8.6E-3</v>
      </c>
      <c r="P32" s="691"/>
      <c r="Q32" s="698">
        <v>44544</v>
      </c>
      <c r="R32" s="699">
        <v>1.3899999999999999E-2</v>
      </c>
      <c r="S32" s="691"/>
      <c r="T32" s="698">
        <f t="shared" si="1"/>
        <v>44594</v>
      </c>
      <c r="U32" s="702">
        <v>1.4108647096589129E-2</v>
      </c>
      <c r="V32" s="691"/>
      <c r="W32" s="698">
        <f t="shared" si="2"/>
        <v>44645</v>
      </c>
      <c r="X32" s="717">
        <v>1.7312999983594882E-2</v>
      </c>
    </row>
    <row r="33" spans="2:24" ht="15.75" x14ac:dyDescent="0.25">
      <c r="B33" s="403">
        <v>44511</v>
      </c>
      <c r="D33" s="472">
        <v>1628459.53</v>
      </c>
      <c r="F33" s="403"/>
      <c r="N33" s="698">
        <f t="shared" si="0"/>
        <v>44495</v>
      </c>
      <c r="O33" s="699">
        <v>1.01E-2</v>
      </c>
      <c r="P33" s="691"/>
      <c r="Q33" s="698">
        <v>44545</v>
      </c>
      <c r="R33" s="699">
        <v>1.55E-2</v>
      </c>
      <c r="S33" s="691"/>
      <c r="T33" s="698">
        <f t="shared" si="1"/>
        <v>44595</v>
      </c>
      <c r="U33" s="702">
        <v>1.5421215263196683E-2</v>
      </c>
      <c r="V33" s="691"/>
      <c r="W33" s="698">
        <f t="shared" si="2"/>
        <v>44646</v>
      </c>
      <c r="X33" s="717">
        <v>1.7296999984269264E-2</v>
      </c>
    </row>
    <row r="34" spans="2:24" ht="15.75" x14ac:dyDescent="0.25">
      <c r="B34" s="403">
        <v>44512</v>
      </c>
      <c r="D34" s="472">
        <v>1659880.94</v>
      </c>
      <c r="F34" s="403"/>
      <c r="N34" s="698">
        <f t="shared" si="0"/>
        <v>44496</v>
      </c>
      <c r="O34" s="699">
        <v>1.0800000000000001E-2</v>
      </c>
      <c r="P34" s="691"/>
      <c r="Q34" s="698">
        <v>44546</v>
      </c>
      <c r="R34" s="699">
        <v>1.5599999999999999E-2</v>
      </c>
      <c r="S34" s="691"/>
      <c r="T34" s="698">
        <f t="shared" si="1"/>
        <v>44596</v>
      </c>
      <c r="U34" s="702">
        <v>1.5450467738559641E-2</v>
      </c>
      <c r="V34" s="691"/>
      <c r="W34" s="698">
        <f t="shared" si="2"/>
        <v>44647</v>
      </c>
      <c r="X34" s="717">
        <v>2.1253000004444945E-2</v>
      </c>
    </row>
    <row r="35" spans="2:24" ht="15.75" x14ac:dyDescent="0.25">
      <c r="B35" s="403">
        <v>44513</v>
      </c>
      <c r="D35" s="472">
        <v>1647810.04</v>
      </c>
      <c r="F35" s="403"/>
      <c r="N35" s="698">
        <f t="shared" si="0"/>
        <v>44497</v>
      </c>
      <c r="O35" s="699">
        <v>1.06E-2</v>
      </c>
      <c r="P35" s="691"/>
      <c r="Q35" s="698">
        <v>44547</v>
      </c>
      <c r="R35" s="699">
        <v>1.52E-2</v>
      </c>
      <c r="S35" s="691"/>
      <c r="T35" s="698">
        <f t="shared" si="1"/>
        <v>44597</v>
      </c>
      <c r="U35" s="702">
        <v>1.3532656201920058E-2</v>
      </c>
      <c r="V35" s="691"/>
      <c r="W35" s="698">
        <f t="shared" si="2"/>
        <v>44648</v>
      </c>
      <c r="X35" s="717">
        <v>1.6659999990130146E-2</v>
      </c>
    </row>
    <row r="36" spans="2:24" ht="15.75" x14ac:dyDescent="0.25">
      <c r="B36" s="403">
        <v>44514</v>
      </c>
      <c r="D36" s="472">
        <v>1647810.41</v>
      </c>
      <c r="F36" s="403"/>
      <c r="N36" s="698">
        <f t="shared" si="0"/>
        <v>44498</v>
      </c>
      <c r="O36" s="699">
        <v>8.0999999999999996E-3</v>
      </c>
      <c r="P36" s="691"/>
      <c r="Q36" s="698">
        <v>44548</v>
      </c>
      <c r="R36" s="699">
        <v>1.52E-2</v>
      </c>
      <c r="S36" s="691"/>
      <c r="T36" s="698">
        <f t="shared" si="1"/>
        <v>44598</v>
      </c>
      <c r="U36" s="702">
        <v>1.3521432055685973E-2</v>
      </c>
      <c r="V36" s="691"/>
      <c r="W36" s="698">
        <f t="shared" si="2"/>
        <v>44649</v>
      </c>
      <c r="X36" s="717">
        <v>1.6715000016191636E-2</v>
      </c>
    </row>
    <row r="37" spans="2:24" ht="15.75" x14ac:dyDescent="0.25">
      <c r="B37" s="403">
        <v>44515</v>
      </c>
      <c r="D37" s="472">
        <v>1634088.55</v>
      </c>
      <c r="N37" s="698">
        <f t="shared" si="0"/>
        <v>44499</v>
      </c>
      <c r="O37" s="699">
        <v>1.06E-2</v>
      </c>
      <c r="P37" s="691"/>
      <c r="Q37" s="698">
        <v>44549</v>
      </c>
      <c r="R37" s="699">
        <v>1.5900000000000001E-2</v>
      </c>
      <c r="S37" s="691"/>
      <c r="T37" s="698">
        <f t="shared" si="1"/>
        <v>44599</v>
      </c>
      <c r="U37" s="702">
        <v>1.2564395852718803E-2</v>
      </c>
      <c r="V37" s="691"/>
      <c r="W37" s="698">
        <f t="shared" si="2"/>
        <v>44650</v>
      </c>
      <c r="X37" s="717">
        <v>1.6791000002156276E-2</v>
      </c>
    </row>
    <row r="38" spans="2:24" ht="15.75" x14ac:dyDescent="0.25">
      <c r="B38" s="403">
        <v>44516</v>
      </c>
      <c r="D38" s="472">
        <v>1669939.5</v>
      </c>
      <c r="N38" s="698">
        <f t="shared" si="0"/>
        <v>44500</v>
      </c>
      <c r="O38" s="699">
        <v>1.06E-2</v>
      </c>
      <c r="P38" s="691"/>
      <c r="Q38" s="698">
        <v>44550</v>
      </c>
      <c r="R38" s="699">
        <v>1.6E-2</v>
      </c>
      <c r="S38" s="691"/>
      <c r="T38" s="698">
        <f t="shared" si="1"/>
        <v>44600</v>
      </c>
      <c r="U38" s="702">
        <v>1.3501259006017886E-2</v>
      </c>
      <c r="V38" s="691"/>
      <c r="W38" s="698">
        <f t="shared" si="2"/>
        <v>44651</v>
      </c>
      <c r="X38" s="717">
        <v>1.8338716084756644E-2</v>
      </c>
    </row>
    <row r="39" spans="2:24" ht="15.75" x14ac:dyDescent="0.25">
      <c r="B39" s="403">
        <v>44517</v>
      </c>
      <c r="D39" s="472">
        <v>1518112.99</v>
      </c>
      <c r="N39" s="698">
        <f t="shared" si="0"/>
        <v>44501</v>
      </c>
      <c r="O39" s="699">
        <v>1.0500000000000001E-2</v>
      </c>
      <c r="P39" s="691"/>
      <c r="Q39" s="698">
        <v>44551</v>
      </c>
      <c r="R39" s="699">
        <v>1.5900000000000001E-2</v>
      </c>
      <c r="S39" s="691"/>
      <c r="T39" s="698">
        <f t="shared" si="1"/>
        <v>44601</v>
      </c>
      <c r="U39" s="702">
        <v>1.3393461717001041E-2</v>
      </c>
      <c r="V39" s="691"/>
      <c r="W39" s="698"/>
      <c r="X39" s="700"/>
    </row>
    <row r="40" spans="2:24" ht="15.75" x14ac:dyDescent="0.25">
      <c r="B40" s="403">
        <v>44518</v>
      </c>
      <c r="D40" s="472">
        <v>1544680.09</v>
      </c>
      <c r="N40" s="698">
        <f t="shared" si="0"/>
        <v>44502</v>
      </c>
      <c r="O40" s="699">
        <v>1.0500000000000001E-2</v>
      </c>
      <c r="P40" s="691"/>
      <c r="Q40" s="698">
        <v>44552</v>
      </c>
      <c r="R40" s="699">
        <v>1.5900000000000001E-2</v>
      </c>
      <c r="S40" s="691"/>
      <c r="T40" s="698">
        <f t="shared" si="1"/>
        <v>44602</v>
      </c>
      <c r="U40" s="702">
        <v>1.1460296338117669E-2</v>
      </c>
      <c r="V40" s="691"/>
      <c r="W40" s="698"/>
      <c r="X40" s="700"/>
    </row>
    <row r="41" spans="2:24" ht="15.75" x14ac:dyDescent="0.25">
      <c r="B41" s="403">
        <v>44519</v>
      </c>
      <c r="D41" s="472">
        <v>1490392.03</v>
      </c>
      <c r="N41" s="698">
        <f t="shared" si="0"/>
        <v>44503</v>
      </c>
      <c r="O41" s="699">
        <v>1.06E-2</v>
      </c>
      <c r="P41" s="691"/>
      <c r="Q41" s="698">
        <v>44553</v>
      </c>
      <c r="R41" s="699">
        <v>1.6E-2</v>
      </c>
      <c r="S41" s="691"/>
      <c r="T41" s="698">
        <f t="shared" si="1"/>
        <v>44603</v>
      </c>
      <c r="U41" s="702">
        <v>1.3111210495348878E-2</v>
      </c>
      <c r="V41" s="691"/>
      <c r="W41" s="698"/>
      <c r="X41" s="700"/>
    </row>
    <row r="42" spans="2:24" ht="15.75" x14ac:dyDescent="0.25">
      <c r="B42" s="403">
        <v>44520</v>
      </c>
      <c r="D42" s="472">
        <v>1623131.96</v>
      </c>
      <c r="N42" s="698">
        <f t="shared" si="0"/>
        <v>44504</v>
      </c>
      <c r="O42" s="699">
        <v>1.0500000000000001E-2</v>
      </c>
      <c r="P42" s="691"/>
      <c r="Q42" s="698">
        <v>44554</v>
      </c>
      <c r="R42" s="699">
        <v>1.5900000000000001E-2</v>
      </c>
      <c r="S42" s="691"/>
      <c r="T42" s="698">
        <f t="shared" si="1"/>
        <v>44604</v>
      </c>
      <c r="U42" s="702">
        <v>1.3611906549930457E-2</v>
      </c>
      <c r="V42" s="691"/>
      <c r="W42" s="698"/>
      <c r="X42" s="700"/>
    </row>
    <row r="43" spans="2:24" ht="15.75" x14ac:dyDescent="0.25">
      <c r="B43" s="403">
        <v>44521</v>
      </c>
      <c r="D43" s="472">
        <v>1619289.95</v>
      </c>
      <c r="N43" s="698">
        <f t="shared" si="0"/>
        <v>44505</v>
      </c>
      <c r="O43" s="699">
        <v>1.0500000000000001E-2</v>
      </c>
      <c r="P43" s="691"/>
      <c r="Q43" s="698">
        <v>44555</v>
      </c>
      <c r="R43" s="699">
        <v>1.5900000000000001E-2</v>
      </c>
      <c r="S43" s="691"/>
      <c r="T43" s="698">
        <f t="shared" si="1"/>
        <v>44605</v>
      </c>
      <c r="U43" s="702">
        <v>1.3609514081020577E-2</v>
      </c>
      <c r="V43" s="691"/>
      <c r="W43" s="698"/>
      <c r="X43" s="700"/>
    </row>
    <row r="44" spans="2:24" ht="15.75" x14ac:dyDescent="0.25">
      <c r="B44" s="403">
        <v>44522</v>
      </c>
      <c r="D44" s="472">
        <v>1323112.01</v>
      </c>
      <c r="N44" s="698">
        <f t="shared" si="0"/>
        <v>44506</v>
      </c>
      <c r="O44" s="699">
        <v>1.04E-2</v>
      </c>
      <c r="P44" s="691"/>
      <c r="Q44" s="698">
        <v>44556</v>
      </c>
      <c r="R44" s="699">
        <v>1.5900000000000001E-2</v>
      </c>
      <c r="S44" s="691"/>
      <c r="T44" s="698">
        <f t="shared" si="1"/>
        <v>44606</v>
      </c>
      <c r="U44" s="702">
        <v>1.1400925801720137E-2</v>
      </c>
      <c r="V44" s="691"/>
      <c r="W44" s="700"/>
      <c r="X44" s="700"/>
    </row>
    <row r="45" spans="2:24" ht="15.75" x14ac:dyDescent="0.25">
      <c r="B45" s="403">
        <v>44523</v>
      </c>
      <c r="D45" s="472">
        <v>1898927.22</v>
      </c>
      <c r="N45" s="698">
        <v>44507</v>
      </c>
      <c r="O45" s="699">
        <v>1.04E-2</v>
      </c>
      <c r="Q45" s="698">
        <f>Q44+1</f>
        <v>44557</v>
      </c>
      <c r="R45" s="699">
        <v>1.5800000000000002E-2</v>
      </c>
      <c r="T45" s="698">
        <f t="shared" si="1"/>
        <v>44607</v>
      </c>
      <c r="U45" s="703">
        <v>1.1922951517025548E-2</v>
      </c>
      <c r="W45" s="701"/>
      <c r="X45" s="701"/>
    </row>
    <row r="46" spans="2:24" ht="15.75" x14ac:dyDescent="0.25">
      <c r="B46" s="403">
        <v>44524</v>
      </c>
      <c r="D46" s="472">
        <v>1947810.29</v>
      </c>
      <c r="N46" s="698">
        <v>44508</v>
      </c>
      <c r="O46" s="699">
        <v>1.09E-2</v>
      </c>
      <c r="Q46" s="698">
        <f t="shared" ref="Q46:Q69" si="3">Q45+1</f>
        <v>44558</v>
      </c>
      <c r="R46" s="699">
        <v>1.5900000000000001E-2</v>
      </c>
      <c r="T46" s="698">
        <f t="shared" si="1"/>
        <v>44608</v>
      </c>
      <c r="U46" s="703">
        <v>1.3182529965983234E-2</v>
      </c>
      <c r="W46" s="701"/>
      <c r="X46" s="701"/>
    </row>
    <row r="47" spans="2:24" ht="15.75" x14ac:dyDescent="0.25">
      <c r="B47" s="403">
        <v>44525</v>
      </c>
      <c r="D47" s="472">
        <v>1965589.9</v>
      </c>
      <c r="N47" s="698">
        <v>44509</v>
      </c>
      <c r="O47" s="699">
        <v>1.03E-2</v>
      </c>
      <c r="Q47" s="698">
        <f t="shared" si="3"/>
        <v>44559</v>
      </c>
      <c r="R47" s="699">
        <v>1.6199999999999999E-2</v>
      </c>
      <c r="T47" s="698">
        <f t="shared" si="1"/>
        <v>44609</v>
      </c>
      <c r="U47" s="703">
        <v>1.380971654130095E-2</v>
      </c>
      <c r="W47" s="701"/>
      <c r="X47" s="701"/>
    </row>
    <row r="48" spans="2:24" ht="15.75" x14ac:dyDescent="0.25">
      <c r="B48" s="403">
        <v>44526</v>
      </c>
      <c r="D48" s="472">
        <v>1939921.83</v>
      </c>
      <c r="N48" s="698">
        <v>44510</v>
      </c>
      <c r="O48" s="699">
        <v>1.04E-2</v>
      </c>
      <c r="Q48" s="698">
        <f t="shared" si="3"/>
        <v>44560</v>
      </c>
      <c r="R48" s="699">
        <v>1.66E-2</v>
      </c>
      <c r="T48" s="698">
        <f t="shared" si="1"/>
        <v>44610</v>
      </c>
      <c r="U48" s="703">
        <v>1.3777255747228795E-2</v>
      </c>
      <c r="W48" s="701"/>
      <c r="X48" s="701"/>
    </row>
    <row r="49" spans="2:24" ht="15.75" x14ac:dyDescent="0.25">
      <c r="B49" s="403">
        <v>44527</v>
      </c>
      <c r="D49" s="472">
        <v>1950569.02</v>
      </c>
      <c r="N49" s="698">
        <v>44511</v>
      </c>
      <c r="O49" s="699">
        <v>1.04E-2</v>
      </c>
      <c r="Q49" s="698">
        <f t="shared" si="3"/>
        <v>44561</v>
      </c>
      <c r="R49" s="699">
        <v>2.0095907848918074E-2</v>
      </c>
      <c r="T49" s="698">
        <f t="shared" si="1"/>
        <v>44611</v>
      </c>
      <c r="U49" s="703">
        <v>1.3760783990685478E-2</v>
      </c>
      <c r="W49" s="701"/>
      <c r="X49" s="701"/>
    </row>
    <row r="50" spans="2:24" ht="15.75" x14ac:dyDescent="0.25">
      <c r="B50" s="403">
        <v>44528</v>
      </c>
      <c r="D50" s="472">
        <v>1950568.04</v>
      </c>
      <c r="N50" s="698">
        <v>44512</v>
      </c>
      <c r="O50" s="699">
        <v>1.0500000000000001E-2</v>
      </c>
      <c r="Q50" s="698">
        <f t="shared" si="3"/>
        <v>44562</v>
      </c>
      <c r="R50" s="699">
        <v>1.6256796344815895E-2</v>
      </c>
      <c r="T50" s="698">
        <f t="shared" si="1"/>
        <v>44612</v>
      </c>
      <c r="U50" s="703">
        <v>1.3752309910144415E-2</v>
      </c>
      <c r="W50" s="701"/>
      <c r="X50" s="701"/>
    </row>
    <row r="51" spans="2:24" ht="15.75" x14ac:dyDescent="0.25">
      <c r="B51" s="403">
        <v>44529</v>
      </c>
      <c r="D51" s="472">
        <v>2003989.93</v>
      </c>
      <c r="N51" s="698">
        <v>44513</v>
      </c>
      <c r="O51" s="699">
        <v>1.04E-2</v>
      </c>
      <c r="Q51" s="698">
        <f t="shared" si="3"/>
        <v>44563</v>
      </c>
      <c r="R51" s="699">
        <v>1.6251661285614182E-2</v>
      </c>
      <c r="T51" s="698">
        <f t="shared" si="1"/>
        <v>44613</v>
      </c>
      <c r="U51" s="703">
        <v>1.280591334514599E-2</v>
      </c>
      <c r="W51" s="701"/>
      <c r="X51" s="701"/>
    </row>
    <row r="52" spans="2:24" ht="15.75" x14ac:dyDescent="0.25">
      <c r="B52" s="403">
        <v>44530</v>
      </c>
      <c r="D52" s="472">
        <v>1996352.08</v>
      </c>
      <c r="N52" s="698">
        <v>44514</v>
      </c>
      <c r="O52" s="699">
        <v>1.04E-2</v>
      </c>
      <c r="Q52" s="698">
        <f t="shared" si="3"/>
        <v>44564</v>
      </c>
      <c r="R52" s="699">
        <v>1.6262960346350289E-2</v>
      </c>
      <c r="T52" s="698">
        <f t="shared" si="1"/>
        <v>44614</v>
      </c>
      <c r="U52" s="703">
        <v>1.3838172799055306E-2</v>
      </c>
      <c r="W52" s="701"/>
      <c r="X52" s="701"/>
    </row>
    <row r="53" spans="2:24" ht="15.75" x14ac:dyDescent="0.25">
      <c r="B53" s="403">
        <v>44531</v>
      </c>
      <c r="D53" s="472">
        <v>1925286.19</v>
      </c>
      <c r="N53" s="698">
        <v>44515</v>
      </c>
      <c r="O53" s="699">
        <v>1.0200000000000001E-2</v>
      </c>
      <c r="Q53" s="698">
        <f t="shared" si="3"/>
        <v>44565</v>
      </c>
      <c r="R53" s="699">
        <v>1.537712069548133E-2</v>
      </c>
      <c r="T53" s="698">
        <f t="shared" si="1"/>
        <v>44615</v>
      </c>
      <c r="U53" s="703">
        <v>1.3308140627457379E-2</v>
      </c>
      <c r="W53" s="701"/>
      <c r="X53" s="701"/>
    </row>
    <row r="54" spans="2:24" ht="15.75" x14ac:dyDescent="0.25">
      <c r="B54" s="403">
        <v>44532</v>
      </c>
      <c r="D54" s="472">
        <v>1910311.98</v>
      </c>
      <c r="N54" s="698">
        <v>44516</v>
      </c>
      <c r="O54" s="699">
        <v>1.04E-2</v>
      </c>
      <c r="Q54" s="698">
        <f t="shared" si="3"/>
        <v>44566</v>
      </c>
      <c r="R54" s="699">
        <v>1.3044421164374731E-2</v>
      </c>
      <c r="T54" s="698">
        <f t="shared" si="1"/>
        <v>44616</v>
      </c>
      <c r="U54" s="703">
        <v>8.3613507854386638E-3</v>
      </c>
      <c r="W54" s="701"/>
      <c r="X54" s="701"/>
    </row>
    <row r="55" spans="2:24" ht="15.75" x14ac:dyDescent="0.25">
      <c r="B55" s="403">
        <v>44533</v>
      </c>
      <c r="D55" s="472">
        <v>1956421.61</v>
      </c>
      <c r="N55" s="698">
        <v>44517</v>
      </c>
      <c r="O55" s="699">
        <v>0.01</v>
      </c>
      <c r="Q55" s="698">
        <f t="shared" si="3"/>
        <v>44567</v>
      </c>
      <c r="R55" s="699">
        <v>1.2394587970237644E-2</v>
      </c>
      <c r="T55" s="698">
        <f t="shared" si="1"/>
        <v>44617</v>
      </c>
      <c r="U55" s="703">
        <v>1.3133231006882727E-2</v>
      </c>
      <c r="W55" s="701"/>
      <c r="X55" s="701"/>
    </row>
    <row r="56" spans="2:24" ht="15.75" x14ac:dyDescent="0.25">
      <c r="B56" s="403">
        <v>44534</v>
      </c>
      <c r="D56" s="472">
        <v>1946720.37</v>
      </c>
      <c r="N56" s="698">
        <v>44518</v>
      </c>
      <c r="O56" s="699">
        <v>1.0200000000000001E-2</v>
      </c>
      <c r="Q56" s="698">
        <f t="shared" si="3"/>
        <v>44568</v>
      </c>
      <c r="R56" s="699">
        <v>1.6567630594693551E-2</v>
      </c>
      <c r="T56" s="698">
        <f t="shared" si="1"/>
        <v>44618</v>
      </c>
      <c r="U56" s="703">
        <v>1.3824767983617654E-2</v>
      </c>
      <c r="W56" s="701"/>
      <c r="X56" s="701"/>
    </row>
    <row r="57" spans="2:24" ht="15.75" x14ac:dyDescent="0.25">
      <c r="B57" s="403">
        <v>44535</v>
      </c>
      <c r="D57" s="472">
        <v>1946720.06</v>
      </c>
      <c r="N57" s="698">
        <v>44519</v>
      </c>
      <c r="O57" s="699">
        <v>9.7999999999999997E-3</v>
      </c>
      <c r="Q57" s="698">
        <f t="shared" si="3"/>
        <v>44569</v>
      </c>
      <c r="R57" s="699">
        <v>1.4131084456609461E-2</v>
      </c>
      <c r="T57" s="698">
        <f t="shared" si="1"/>
        <v>44619</v>
      </c>
      <c r="U57" s="703">
        <v>1.3806867950166781E-2</v>
      </c>
    </row>
    <row r="58" spans="2:24" ht="15.75" x14ac:dyDescent="0.25">
      <c r="B58" s="403">
        <v>44536</v>
      </c>
      <c r="D58" s="472">
        <v>1916206.19</v>
      </c>
      <c r="N58" s="698">
        <v>44520</v>
      </c>
      <c r="O58" s="699">
        <v>1.0699999999999999E-2</v>
      </c>
      <c r="Q58" s="698">
        <f t="shared" si="3"/>
        <v>44570</v>
      </c>
      <c r="R58" s="699">
        <v>1.4175943937956416E-2</v>
      </c>
      <c r="T58" s="698">
        <f t="shared" si="1"/>
        <v>44620</v>
      </c>
      <c r="U58" s="703">
        <v>1.2346997854050513E-2</v>
      </c>
    </row>
    <row r="59" spans="2:24" ht="15.75" x14ac:dyDescent="0.25">
      <c r="B59" s="403">
        <v>44537</v>
      </c>
      <c r="D59" s="472">
        <v>2052047.81</v>
      </c>
      <c r="N59" s="698">
        <v>44521</v>
      </c>
      <c r="O59" s="699">
        <v>1.06E-2</v>
      </c>
      <c r="Q59" s="698">
        <f t="shared" si="3"/>
        <v>44571</v>
      </c>
      <c r="R59" s="699">
        <v>1.6008026230757491E-2</v>
      </c>
      <c r="T59" s="698">
        <f t="shared" si="1"/>
        <v>44621</v>
      </c>
      <c r="U59" s="703">
        <v>1.4100972417844767E-2</v>
      </c>
    </row>
    <row r="60" spans="2:24" ht="15.75" x14ac:dyDescent="0.25">
      <c r="B60" s="403">
        <v>44538</v>
      </c>
      <c r="D60" s="472">
        <v>2068548.18</v>
      </c>
      <c r="N60" s="698">
        <v>44522</v>
      </c>
      <c r="O60" s="699">
        <v>8.6999999999999994E-3</v>
      </c>
      <c r="Q60" s="698">
        <f t="shared" si="3"/>
        <v>44572</v>
      </c>
      <c r="R60" s="699">
        <v>1.5760577258957641E-2</v>
      </c>
      <c r="T60" s="698">
        <f t="shared" si="1"/>
        <v>44622</v>
      </c>
      <c r="U60" s="703">
        <v>1.2507885961643298E-2</v>
      </c>
    </row>
    <row r="61" spans="2:24" ht="15.75" x14ac:dyDescent="0.25">
      <c r="B61" s="403">
        <v>44539</v>
      </c>
      <c r="D61" s="472">
        <v>2070441.88</v>
      </c>
      <c r="N61" s="698">
        <v>44523</v>
      </c>
      <c r="O61" s="699">
        <v>1.23E-2</v>
      </c>
      <c r="Q61" s="698">
        <f t="shared" si="3"/>
        <v>44573</v>
      </c>
      <c r="R61" s="699">
        <v>1.5326570677913345E-2</v>
      </c>
      <c r="T61" s="698">
        <f t="shared" si="1"/>
        <v>44623</v>
      </c>
      <c r="U61" s="703">
        <v>1.1614940932225409E-2</v>
      </c>
    </row>
    <row r="62" spans="2:24" ht="15.75" x14ac:dyDescent="0.25">
      <c r="B62" s="403">
        <v>44540</v>
      </c>
      <c r="D62" s="472">
        <v>2052949.76</v>
      </c>
      <c r="N62" s="698">
        <v>44524</v>
      </c>
      <c r="O62" s="699">
        <v>1.24E-2</v>
      </c>
      <c r="Q62" s="698">
        <f t="shared" si="3"/>
        <v>44574</v>
      </c>
      <c r="R62" s="699">
        <v>1.5244391856116481E-2</v>
      </c>
      <c r="T62" s="698">
        <f t="shared" si="1"/>
        <v>44624</v>
      </c>
      <c r="U62" s="703">
        <v>1.3264504864238797E-2</v>
      </c>
    </row>
    <row r="63" spans="2:24" ht="15.75" x14ac:dyDescent="0.25">
      <c r="B63" s="403">
        <v>44541</v>
      </c>
      <c r="D63" s="472">
        <v>2051390.08</v>
      </c>
      <c r="N63" s="698">
        <v>44525</v>
      </c>
      <c r="O63" s="699">
        <v>1.2500000000000001E-2</v>
      </c>
      <c r="Q63" s="698">
        <f t="shared" si="3"/>
        <v>44575</v>
      </c>
      <c r="R63" s="699">
        <v>1.4821079150821323E-2</v>
      </c>
      <c r="T63" s="698">
        <f t="shared" si="1"/>
        <v>44625</v>
      </c>
      <c r="U63" s="703">
        <v>1.375825775796642E-2</v>
      </c>
    </row>
    <row r="64" spans="2:24" ht="15.75" x14ac:dyDescent="0.25">
      <c r="B64" s="403">
        <v>44542</v>
      </c>
      <c r="D64" s="472">
        <v>2051390.08</v>
      </c>
      <c r="N64" s="698">
        <v>44526</v>
      </c>
      <c r="O64" s="699">
        <v>1.23E-2</v>
      </c>
      <c r="Q64" s="698">
        <f t="shared" si="3"/>
        <v>44576</v>
      </c>
      <c r="R64" s="699">
        <v>1.4178730013543623E-2</v>
      </c>
      <c r="T64" s="698">
        <f t="shared" si="1"/>
        <v>44626</v>
      </c>
      <c r="U64" s="703">
        <v>1.3756251027723251E-2</v>
      </c>
    </row>
    <row r="65" spans="2:24" ht="15.75" x14ac:dyDescent="0.25">
      <c r="B65" s="403">
        <v>44543</v>
      </c>
      <c r="D65" s="472">
        <v>2289803.14</v>
      </c>
      <c r="N65" s="698">
        <v>44527</v>
      </c>
      <c r="O65" s="699">
        <v>1.24E-2</v>
      </c>
      <c r="Q65" s="698">
        <f t="shared" si="3"/>
        <v>44577</v>
      </c>
      <c r="R65" s="699">
        <v>1.4150368684458979E-2</v>
      </c>
      <c r="T65" s="698">
        <v>44628</v>
      </c>
      <c r="U65" s="703">
        <v>1.2700003134276768E-2</v>
      </c>
    </row>
    <row r="66" spans="2:24" ht="15.75" x14ac:dyDescent="0.25">
      <c r="B66" s="403">
        <v>44544</v>
      </c>
      <c r="D66" s="472">
        <v>2349086.7000000002</v>
      </c>
      <c r="N66" s="698">
        <v>44528</v>
      </c>
      <c r="O66" s="699">
        <v>1.24E-2</v>
      </c>
      <c r="Q66" s="698">
        <f t="shared" si="3"/>
        <v>44578</v>
      </c>
      <c r="R66" s="699">
        <v>1.7109464390190697E-2</v>
      </c>
      <c r="T66" s="698">
        <f t="shared" si="1"/>
        <v>44629</v>
      </c>
      <c r="U66" s="703">
        <v>1.4961328100955899E-2</v>
      </c>
    </row>
    <row r="67" spans="2:24" ht="15.75" x14ac:dyDescent="0.25">
      <c r="B67" s="403">
        <v>44545</v>
      </c>
      <c r="D67" s="472">
        <v>2642008.2799999998</v>
      </c>
      <c r="N67" s="698">
        <v>44529</v>
      </c>
      <c r="O67" s="699">
        <v>1.24E-2</v>
      </c>
      <c r="Q67" s="698">
        <f t="shared" si="3"/>
        <v>44579</v>
      </c>
      <c r="R67" s="699">
        <v>1.5299684965739208E-2</v>
      </c>
      <c r="T67" s="698">
        <f t="shared" si="1"/>
        <v>44630</v>
      </c>
      <c r="U67" s="703">
        <v>1.5905602942872656E-2</v>
      </c>
    </row>
    <row r="68" spans="2:24" ht="15.75" x14ac:dyDescent="0.25">
      <c r="B68" s="403">
        <v>44546</v>
      </c>
      <c r="D68" s="472">
        <v>2699707.7</v>
      </c>
      <c r="N68" s="698">
        <v>44530</v>
      </c>
      <c r="O68" s="699">
        <v>1.24E-2</v>
      </c>
      <c r="Q68" s="698">
        <f t="shared" si="3"/>
        <v>44580</v>
      </c>
      <c r="R68" s="699">
        <v>1.3419454110921367E-2</v>
      </c>
      <c r="T68" s="698">
        <f t="shared" si="1"/>
        <v>44631</v>
      </c>
      <c r="U68" s="703">
        <v>1.5745597490104121E-2</v>
      </c>
    </row>
    <row r="69" spans="2:24" ht="15.75" x14ac:dyDescent="0.25">
      <c r="B69" s="403">
        <v>44547</v>
      </c>
      <c r="D69" s="472">
        <v>2804663.45</v>
      </c>
      <c r="N69" s="698">
        <v>44531</v>
      </c>
      <c r="O69" s="699">
        <v>1.24E-2</v>
      </c>
      <c r="Q69" s="698">
        <f t="shared" si="3"/>
        <v>44581</v>
      </c>
      <c r="R69" s="699">
        <v>1.4485263945848627E-2</v>
      </c>
      <c r="T69" s="698">
        <f t="shared" si="1"/>
        <v>44632</v>
      </c>
      <c r="U69" s="703">
        <v>1.5782506685660381E-2</v>
      </c>
    </row>
    <row r="70" spans="2:24" ht="15.75" x14ac:dyDescent="0.25">
      <c r="B70" s="403">
        <v>44548</v>
      </c>
      <c r="D70" s="472">
        <v>2806307.97</v>
      </c>
      <c r="O70" s="706">
        <f>SUM(O20:O69)</f>
        <v>0.51810000000000012</v>
      </c>
      <c r="R70" s="706">
        <f>SUM(R20:R69)</f>
        <v>0.73906172593032038</v>
      </c>
      <c r="U70" s="706">
        <f>SUM(U20:U64)</f>
        <v>0.59445212137137315</v>
      </c>
      <c r="V70" s="707"/>
    </row>
    <row r="71" spans="2:24" ht="15.75" x14ac:dyDescent="0.25">
      <c r="B71" s="403">
        <v>44549</v>
      </c>
      <c r="D71" s="472">
        <v>2934028.5</v>
      </c>
      <c r="L71" s="690">
        <f>54+25</f>
        <v>79</v>
      </c>
    </row>
    <row r="72" spans="2:24" ht="15.75" x14ac:dyDescent="0.25">
      <c r="B72" s="403">
        <v>44550</v>
      </c>
      <c r="D72" s="472">
        <v>3107330.24</v>
      </c>
      <c r="Q72" s="690" t="s">
        <v>716</v>
      </c>
      <c r="T72" s="706">
        <f>O70+R70+U70</f>
        <v>1.8516138473016936</v>
      </c>
    </row>
    <row r="73" spans="2:24" ht="15.75" x14ac:dyDescent="0.25">
      <c r="B73" s="403">
        <v>44551</v>
      </c>
      <c r="D73" s="472">
        <v>3828055.41</v>
      </c>
    </row>
    <row r="74" spans="2:24" ht="15.75" x14ac:dyDescent="0.25">
      <c r="B74" s="403">
        <v>44552</v>
      </c>
      <c r="D74" s="472">
        <v>3872063</v>
      </c>
      <c r="U74" s="706">
        <f>SUM(U65:U69)</f>
        <v>7.5095038353869825E-2</v>
      </c>
      <c r="X74" s="706">
        <f>SUM(X20:X72)</f>
        <v>0.31658354663296773</v>
      </c>
    </row>
    <row r="75" spans="2:24" ht="15.75" x14ac:dyDescent="0.25">
      <c r="B75" s="403">
        <v>44553</v>
      </c>
      <c r="D75" s="472">
        <v>4070234.41</v>
      </c>
    </row>
    <row r="76" spans="2:24" ht="15.75" x14ac:dyDescent="0.25">
      <c r="B76" s="403">
        <v>44554</v>
      </c>
      <c r="D76" s="472">
        <v>4118014.98</v>
      </c>
      <c r="Q76" s="690" t="s">
        <v>717</v>
      </c>
      <c r="T76" s="706">
        <f>U74+X74</f>
        <v>0.39167858498683755</v>
      </c>
    </row>
    <row r="77" spans="2:24" ht="15.75" x14ac:dyDescent="0.25">
      <c r="B77" s="403">
        <v>44555</v>
      </c>
      <c r="D77" s="472">
        <v>4120942.06</v>
      </c>
    </row>
    <row r="78" spans="2:24" ht="15.75" x14ac:dyDescent="0.25">
      <c r="B78" s="403">
        <v>44556</v>
      </c>
      <c r="D78" s="472">
        <v>4120938.02</v>
      </c>
    </row>
    <row r="79" spans="2:24" ht="15.75" x14ac:dyDescent="0.25">
      <c r="B79" s="403">
        <v>44557</v>
      </c>
      <c r="D79" s="472">
        <v>4088309.45</v>
      </c>
    </row>
    <row r="80" spans="2:24" ht="15.75" x14ac:dyDescent="0.25">
      <c r="B80" s="403">
        <v>44558</v>
      </c>
      <c r="D80" s="472">
        <v>4186608.4</v>
      </c>
    </row>
    <row r="81" spans="2:4" ht="15.75" x14ac:dyDescent="0.25">
      <c r="B81" s="403">
        <v>44559</v>
      </c>
      <c r="D81" s="472">
        <v>4386261.53</v>
      </c>
    </row>
    <row r="82" spans="2:4" ht="15.75" x14ac:dyDescent="0.25">
      <c r="B82" s="403">
        <v>44560</v>
      </c>
      <c r="D82" s="472">
        <v>4522841.9000000004</v>
      </c>
    </row>
    <row r="83" spans="2:4" ht="15.75" x14ac:dyDescent="0.25">
      <c r="B83" s="403">
        <v>44561</v>
      </c>
      <c r="D83" s="472">
        <v>5783562.1900000004</v>
      </c>
    </row>
    <row r="84" spans="2:4" ht="15.75" x14ac:dyDescent="0.25">
      <c r="B84" s="403">
        <v>44562</v>
      </c>
      <c r="D84" s="472">
        <v>4680285.13</v>
      </c>
    </row>
    <row r="85" spans="2:4" ht="15.75" x14ac:dyDescent="0.25">
      <c r="B85" s="403">
        <v>44563</v>
      </c>
      <c r="D85" s="472">
        <v>4680104.05</v>
      </c>
    </row>
    <row r="86" spans="2:4" ht="15.75" x14ac:dyDescent="0.25">
      <c r="B86" s="403">
        <v>44564</v>
      </c>
      <c r="D86" s="472">
        <v>4680102.68</v>
      </c>
    </row>
    <row r="87" spans="2:4" ht="15.75" x14ac:dyDescent="0.25">
      <c r="B87" s="403">
        <v>44565</v>
      </c>
      <c r="D87" s="472">
        <v>4340519.46</v>
      </c>
    </row>
    <row r="88" spans="2:4" ht="15.75" x14ac:dyDescent="0.25">
      <c r="B88" s="403">
        <v>44566</v>
      </c>
      <c r="D88" s="472">
        <v>3677621.34</v>
      </c>
    </row>
    <row r="89" spans="2:4" ht="15.75" x14ac:dyDescent="0.25">
      <c r="B89" s="403">
        <v>44567</v>
      </c>
      <c r="D89" s="472">
        <v>3506227.98</v>
      </c>
    </row>
    <row r="90" spans="2:4" ht="15.75" x14ac:dyDescent="0.25">
      <c r="B90" s="403">
        <v>44568</v>
      </c>
      <c r="D90" s="472">
        <v>4188799.38</v>
      </c>
    </row>
    <row r="91" spans="2:4" ht="15.75" x14ac:dyDescent="0.25">
      <c r="B91" s="403">
        <v>44569</v>
      </c>
      <c r="D91" s="472">
        <v>3573784.11</v>
      </c>
    </row>
    <row r="92" spans="2:4" ht="15.75" x14ac:dyDescent="0.25">
      <c r="B92" s="403">
        <v>44570</v>
      </c>
      <c r="D92" s="472">
        <v>3586000.02</v>
      </c>
    </row>
    <row r="93" spans="2:4" ht="15.75" x14ac:dyDescent="0.25">
      <c r="B93" s="403">
        <v>44571</v>
      </c>
      <c r="D93" s="472">
        <v>3841445.35</v>
      </c>
    </row>
    <row r="94" spans="2:4" ht="15.75" x14ac:dyDescent="0.25">
      <c r="B94" s="403">
        <v>44572</v>
      </c>
      <c r="D94" s="472">
        <v>3697083.46</v>
      </c>
    </row>
    <row r="95" spans="2:4" ht="15.75" x14ac:dyDescent="0.25">
      <c r="B95" s="403">
        <v>44573</v>
      </c>
      <c r="D95" s="472">
        <v>2416631.7200000002</v>
      </c>
    </row>
    <row r="96" spans="2:4" ht="15.75" x14ac:dyDescent="0.25">
      <c r="B96" s="403">
        <v>44574</v>
      </c>
      <c r="D96" s="472">
        <v>2417115.73</v>
      </c>
    </row>
    <row r="97" spans="2:4" ht="15.75" x14ac:dyDescent="0.25">
      <c r="B97" s="403">
        <v>44575</v>
      </c>
      <c r="D97" s="472">
        <v>2328185.41</v>
      </c>
    </row>
    <row r="98" spans="2:4" ht="15.75" x14ac:dyDescent="0.25">
      <c r="B98" s="403">
        <v>44576</v>
      </c>
      <c r="D98" s="472">
        <v>2227835.12</v>
      </c>
    </row>
    <row r="99" spans="2:4" ht="15.75" x14ac:dyDescent="0.25">
      <c r="B99" s="403">
        <v>44577</v>
      </c>
      <c r="D99" s="472">
        <v>2223923.08</v>
      </c>
    </row>
    <row r="100" spans="2:4" ht="15.75" x14ac:dyDescent="0.25">
      <c r="B100" s="403">
        <v>44578</v>
      </c>
      <c r="D100" s="472">
        <v>2741921.51</v>
      </c>
    </row>
    <row r="101" spans="2:4" ht="15.75" x14ac:dyDescent="0.25">
      <c r="B101" s="403">
        <v>44579</v>
      </c>
      <c r="D101" s="472">
        <v>2421516.89</v>
      </c>
    </row>
    <row r="102" spans="2:4" ht="15.75" x14ac:dyDescent="0.25">
      <c r="B102" s="403">
        <v>44580</v>
      </c>
      <c r="D102" s="472">
        <v>2140781.83</v>
      </c>
    </row>
    <row r="103" spans="2:4" ht="15.75" x14ac:dyDescent="0.25">
      <c r="B103" s="403">
        <v>44581</v>
      </c>
      <c r="D103" s="472">
        <v>2309935.15</v>
      </c>
    </row>
    <row r="104" spans="2:4" ht="15.75" x14ac:dyDescent="0.25">
      <c r="B104" s="403">
        <v>44582</v>
      </c>
      <c r="D104" s="472">
        <v>1719479.37</v>
      </c>
    </row>
    <row r="105" spans="2:4" ht="15.75" x14ac:dyDescent="0.25">
      <c r="B105" s="403">
        <v>44583</v>
      </c>
      <c r="D105" s="472">
        <v>2130964.04</v>
      </c>
    </row>
    <row r="106" spans="2:4" ht="15.75" x14ac:dyDescent="0.25">
      <c r="B106" s="403">
        <v>44584</v>
      </c>
      <c r="D106" s="472">
        <v>2124120.5</v>
      </c>
    </row>
    <row r="107" spans="2:4" ht="15.75" x14ac:dyDescent="0.25">
      <c r="B107" s="403">
        <v>44585</v>
      </c>
      <c r="D107" s="472">
        <v>1965850.62</v>
      </c>
    </row>
    <row r="108" spans="2:4" ht="15.75" x14ac:dyDescent="0.25">
      <c r="B108" s="403">
        <v>44586</v>
      </c>
      <c r="D108" s="472">
        <v>2518175.71</v>
      </c>
    </row>
    <row r="109" spans="2:4" ht="15.75" x14ac:dyDescent="0.25">
      <c r="B109" s="403">
        <v>44587</v>
      </c>
      <c r="D109" s="472">
        <v>1631434.15</v>
      </c>
    </row>
    <row r="110" spans="2:4" ht="15.75" x14ac:dyDescent="0.25">
      <c r="B110" s="403">
        <v>44588</v>
      </c>
      <c r="D110" s="472">
        <v>1970174.23</v>
      </c>
    </row>
    <row r="111" spans="2:4" ht="15.75" x14ac:dyDescent="0.25">
      <c r="B111" s="403">
        <v>44589</v>
      </c>
      <c r="D111" s="472">
        <v>1660237.03</v>
      </c>
    </row>
    <row r="112" spans="2:4" ht="15.75" x14ac:dyDescent="0.25">
      <c r="B112" s="403">
        <v>44590</v>
      </c>
      <c r="D112" s="472">
        <v>1660209.09</v>
      </c>
    </row>
    <row r="113" spans="2:4" ht="15.75" x14ac:dyDescent="0.25">
      <c r="B113" s="403">
        <v>44591</v>
      </c>
      <c r="D113" s="472">
        <v>1656397.08</v>
      </c>
    </row>
    <row r="114" spans="2:4" ht="15.75" x14ac:dyDescent="0.25">
      <c r="B114" s="403">
        <v>44592</v>
      </c>
      <c r="D114" s="472">
        <v>1289420</v>
      </c>
    </row>
    <row r="115" spans="2:4" ht="15.75" x14ac:dyDescent="0.25">
      <c r="B115" s="403">
        <v>44593</v>
      </c>
      <c r="D115" s="472">
        <v>1480515.64</v>
      </c>
    </row>
    <row r="116" spans="2:4" ht="15.75" x14ac:dyDescent="0.25">
      <c r="B116" s="403">
        <v>44594</v>
      </c>
      <c r="D116" s="472">
        <v>1713589.3</v>
      </c>
    </row>
    <row r="117" spans="2:4" ht="15.75" x14ac:dyDescent="0.25">
      <c r="B117" s="403">
        <v>44595</v>
      </c>
      <c r="D117" s="472">
        <v>1878759.47</v>
      </c>
    </row>
    <row r="118" spans="2:4" ht="15.75" x14ac:dyDescent="0.25">
      <c r="B118" s="403">
        <v>44596</v>
      </c>
      <c r="D118" s="472">
        <v>1876563.95</v>
      </c>
    </row>
    <row r="119" spans="2:4" ht="15.75" x14ac:dyDescent="0.25">
      <c r="B119" s="403">
        <v>44597</v>
      </c>
      <c r="D119" s="472">
        <v>1644072.08</v>
      </c>
    </row>
    <row r="120" spans="2:4" ht="15.75" x14ac:dyDescent="0.25">
      <c r="B120" s="403">
        <v>44598</v>
      </c>
      <c r="D120" s="472">
        <v>1643093.05</v>
      </c>
    </row>
    <row r="121" spans="2:4" ht="15.75" x14ac:dyDescent="0.25">
      <c r="B121" s="403">
        <v>44599</v>
      </c>
      <c r="D121" s="472">
        <v>1527551.04</v>
      </c>
    </row>
    <row r="122" spans="2:4" ht="15.75" x14ac:dyDescent="0.25">
      <c r="B122" s="403">
        <v>44600</v>
      </c>
      <c r="D122" s="472">
        <v>1581722.38</v>
      </c>
    </row>
    <row r="123" spans="2:4" ht="15.75" x14ac:dyDescent="0.25">
      <c r="B123" s="403">
        <v>44601</v>
      </c>
      <c r="D123" s="472">
        <v>1580187.17</v>
      </c>
    </row>
    <row r="124" spans="2:4" ht="15.75" x14ac:dyDescent="0.25">
      <c r="B124" s="403">
        <v>44602</v>
      </c>
      <c r="D124" s="472">
        <v>1362714.41</v>
      </c>
    </row>
    <row r="125" spans="2:4" ht="15.75" x14ac:dyDescent="0.25">
      <c r="B125" s="403">
        <v>44603</v>
      </c>
      <c r="D125" s="472">
        <v>1559194.51</v>
      </c>
    </row>
    <row r="126" spans="2:4" ht="15.75" x14ac:dyDescent="0.25">
      <c r="B126" s="403">
        <v>44604</v>
      </c>
      <c r="D126" s="472">
        <v>1619106.12</v>
      </c>
    </row>
    <row r="127" spans="2:4" ht="15.75" x14ac:dyDescent="0.25">
      <c r="B127" s="403">
        <v>44605</v>
      </c>
      <c r="D127" s="472">
        <v>1619204.11</v>
      </c>
    </row>
    <row r="128" spans="2:4" ht="15.75" x14ac:dyDescent="0.25">
      <c r="B128" s="403">
        <v>44606</v>
      </c>
      <c r="D128" s="472">
        <v>1353694.51</v>
      </c>
    </row>
    <row r="129" spans="2:4" ht="15.75" x14ac:dyDescent="0.25">
      <c r="B129" s="403">
        <v>44607</v>
      </c>
      <c r="D129" s="472">
        <v>1426680.26</v>
      </c>
    </row>
    <row r="130" spans="2:4" ht="15.75" x14ac:dyDescent="0.25">
      <c r="B130" s="403">
        <v>44608</v>
      </c>
      <c r="D130" s="472">
        <v>1557051.73</v>
      </c>
    </row>
    <row r="131" spans="2:4" ht="15.75" x14ac:dyDescent="0.25">
      <c r="B131" s="403">
        <v>44609</v>
      </c>
      <c r="D131" s="472">
        <v>1502618.35</v>
      </c>
    </row>
    <row r="132" spans="2:4" ht="15.75" x14ac:dyDescent="0.25">
      <c r="B132" s="403">
        <v>44610</v>
      </c>
      <c r="D132" s="472">
        <v>1504205.9</v>
      </c>
    </row>
    <row r="133" spans="2:4" ht="15.75" x14ac:dyDescent="0.25">
      <c r="B133" s="403">
        <v>44611</v>
      </c>
      <c r="D133" s="472">
        <v>1502436.94</v>
      </c>
    </row>
    <row r="134" spans="2:4" ht="15.75" x14ac:dyDescent="0.25">
      <c r="B134" s="403">
        <v>44612</v>
      </c>
      <c r="D134" s="472">
        <v>1501864.97</v>
      </c>
    </row>
    <row r="135" spans="2:4" ht="15.75" x14ac:dyDescent="0.25">
      <c r="B135" s="403">
        <v>44613</v>
      </c>
      <c r="D135" s="472">
        <v>1399179.43</v>
      </c>
    </row>
    <row r="136" spans="2:4" ht="15.75" x14ac:dyDescent="0.25">
      <c r="B136" s="403">
        <v>44614</v>
      </c>
      <c r="D136" s="472">
        <v>1452493.4</v>
      </c>
    </row>
    <row r="137" spans="2:4" ht="15.75" x14ac:dyDescent="0.25">
      <c r="B137" s="403">
        <v>44615</v>
      </c>
      <c r="D137" s="472">
        <v>1364841.93</v>
      </c>
    </row>
    <row r="138" spans="2:4" ht="15.75" x14ac:dyDescent="0.25">
      <c r="B138" s="403">
        <v>44616</v>
      </c>
      <c r="D138" s="472">
        <v>877987.16</v>
      </c>
    </row>
    <row r="139" spans="2:4" ht="15.75" x14ac:dyDescent="0.25">
      <c r="B139" s="403">
        <v>44617</v>
      </c>
      <c r="D139" s="472">
        <v>1321437.78</v>
      </c>
    </row>
    <row r="140" spans="2:4" ht="15.75" x14ac:dyDescent="0.25">
      <c r="B140" s="403">
        <v>44618</v>
      </c>
      <c r="D140" s="472">
        <v>1391288.09</v>
      </c>
    </row>
    <row r="141" spans="2:4" ht="15.75" x14ac:dyDescent="0.25">
      <c r="B141" s="403">
        <v>44619</v>
      </c>
      <c r="D141" s="472">
        <v>1389815.98</v>
      </c>
    </row>
    <row r="142" spans="2:4" ht="15.75" x14ac:dyDescent="0.25">
      <c r="B142" s="403">
        <v>44620</v>
      </c>
      <c r="D142" s="472">
        <v>1206854.95</v>
      </c>
    </row>
    <row r="143" spans="2:4" ht="15.75" x14ac:dyDescent="0.25">
      <c r="B143" s="403">
        <v>44621</v>
      </c>
      <c r="D143" s="472">
        <v>1382700.86</v>
      </c>
    </row>
    <row r="144" spans="2:4" ht="15.75" x14ac:dyDescent="0.25">
      <c r="B144" s="403">
        <v>44622</v>
      </c>
      <c r="D144" s="472">
        <v>1268206.5</v>
      </c>
    </row>
    <row r="145" spans="2:4" ht="15.75" x14ac:dyDescent="0.25">
      <c r="B145" s="403">
        <v>44623</v>
      </c>
      <c r="D145" s="472">
        <v>1124618.5900000001</v>
      </c>
    </row>
    <row r="146" spans="2:4" ht="15.75" x14ac:dyDescent="0.25">
      <c r="B146" s="403">
        <v>44624</v>
      </c>
      <c r="D146" s="472">
        <v>1180584.1000000001</v>
      </c>
    </row>
    <row r="147" spans="2:4" ht="15.75" x14ac:dyDescent="0.25">
      <c r="B147" s="403">
        <v>44625</v>
      </c>
      <c r="D147" s="472">
        <v>1224804.02</v>
      </c>
    </row>
    <row r="148" spans="2:4" ht="15.75" x14ac:dyDescent="0.25">
      <c r="B148" s="403">
        <v>44626</v>
      </c>
      <c r="D148" s="472">
        <v>1224916.99</v>
      </c>
    </row>
    <row r="149" spans="2:4" ht="15" x14ac:dyDescent="0.25">
      <c r="D149" s="712">
        <f>SUM(D4:D148)</f>
        <v>307474902.27000016</v>
      </c>
    </row>
    <row r="150" spans="2:4" ht="15" x14ac:dyDescent="0.25">
      <c r="D150" s="713">
        <f>D149/1000</f>
        <v>307474.90227000014</v>
      </c>
    </row>
  </sheetData>
  <mergeCells count="9">
    <mergeCell ref="N17:N18"/>
    <mergeCell ref="Q17:Q18"/>
    <mergeCell ref="T17:T18"/>
    <mergeCell ref="W17:W18"/>
    <mergeCell ref="K15:K16"/>
    <mergeCell ref="N15:R15"/>
    <mergeCell ref="T15:X15"/>
    <mergeCell ref="N16:R16"/>
    <mergeCell ref="T16:X16"/>
  </mergeCells>
  <printOptions horizontalCentered="1"/>
  <pageMargins left="0.75" right="0.5" top="0.7" bottom="0.4" header="0.45" footer="0.23"/>
  <pageSetup paperSize="9" firstPageNumber="2" orientation="portrait" useFirstPageNumber="1" r:id="rId1"/>
  <headerFooter>
    <oddHeader>&amp;C&amp;"Arial,Regular"&amp;9&amp;P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SAL</vt:lpstr>
      <vt:lpstr>IS</vt:lpstr>
      <vt:lpstr>SOCI</vt:lpstr>
      <vt:lpstr>UHF</vt:lpstr>
      <vt:lpstr>CF</vt:lpstr>
      <vt:lpstr>Notes (1st page)</vt:lpstr>
      <vt:lpstr>Notes (remaining)</vt:lpstr>
      <vt:lpstr>RP (2)</vt:lpstr>
      <vt:lpstr>PAYOUT</vt:lpstr>
      <vt:lpstr>Dividend</vt:lpstr>
      <vt:lpstr>5.1 (2)</vt:lpstr>
      <vt:lpstr>UHF Working</vt:lpstr>
      <vt:lpstr>TB</vt:lpstr>
      <vt:lpstr>Sheet2</vt:lpstr>
      <vt:lpstr>I-R</vt:lpstr>
      <vt:lpstr>Work</vt:lpstr>
      <vt:lpstr>Sheet3</vt:lpstr>
      <vt:lpstr>5.1</vt:lpstr>
      <vt:lpstr>Sheet1</vt:lpstr>
      <vt:lpstr>CF!Print_Area</vt:lpstr>
      <vt:lpstr>IS!Print_Area</vt:lpstr>
      <vt:lpstr>'Notes (1st page)'!Print_Area</vt:lpstr>
      <vt:lpstr>'Notes (remaining)'!Print_Area</vt:lpstr>
      <vt:lpstr>'RP (2)'!Print_Area</vt:lpstr>
      <vt:lpstr>SAL!Print_Area</vt:lpstr>
      <vt:lpstr>Sheet2!Print_Area</vt:lpstr>
      <vt:lpstr>SOCI!Print_Area</vt:lpstr>
      <vt:lpstr>UHF!Print_Area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rehman.ghauri</dc:creator>
  <cp:lastModifiedBy>Syed Mohammad Aown Hassan</cp:lastModifiedBy>
  <cp:lastPrinted>2021-01-13T10:17:49Z</cp:lastPrinted>
  <dcterms:created xsi:type="dcterms:W3CDTF">2019-12-21T12:44:43Z</dcterms:created>
  <dcterms:modified xsi:type="dcterms:W3CDTF">2022-04-15T11:19:16Z</dcterms:modified>
</cp:coreProperties>
</file>