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10.111.100.10\Departments\Fund Accounting\Operations\Printing\March 2022\After IAD Changes FINAL for BOD\"/>
    </mc:Choice>
  </mc:AlternateContent>
  <bookViews>
    <workbookView xWindow="0" yWindow="0" windowWidth="23040" windowHeight="9192" tabRatio="945"/>
  </bookViews>
  <sheets>
    <sheet name="BS" sheetId="2" r:id="rId1"/>
    <sheet name="review" sheetId="36" state="hidden" r:id="rId2"/>
    <sheet name="IS" sheetId="3" r:id="rId3"/>
    <sheet name="OCI" sheetId="4" r:id="rId4"/>
    <sheet name="UHF New" sheetId="27" r:id="rId5"/>
    <sheet name="MCB PFPF" sheetId="33" state="hidden" r:id="rId6"/>
    <sheet name="Cashflow" sheetId="7" r:id="rId7"/>
    <sheet name="Notes 1-6" sheetId="8" r:id="rId8"/>
    <sheet name="Investment" sheetId="25" r:id="rId9"/>
    <sheet name="Notes 7-8" sheetId="14" r:id="rId10"/>
    <sheet name="Notes 9-13" sheetId="28" r:id="rId11"/>
    <sheet name="Notes 13-14" sheetId="23" r:id="rId12"/>
    <sheet name="Notes 15-17 ( END )" sheetId="16" r:id="rId13"/>
    <sheet name="TB" sheetId="34" r:id="rId14"/>
    <sheet name="UHA" sheetId="37" r:id="rId15"/>
    <sheet name="Notes 18" sheetId="26" state="hidden" r:id="rId16"/>
  </sheets>
  <externalReferences>
    <externalReference r:id="rId17"/>
    <externalReference r:id="rId18"/>
    <externalReference r:id="rId19"/>
    <externalReference r:id="rId20"/>
    <externalReference r:id="rId21"/>
  </externalReferences>
  <definedNames>
    <definedName name="_Fill" hidden="1">'[1]BS-OVS'!$I$126:$I$284</definedName>
    <definedName name="_Key1" localSheetId="10" hidden="1">#REF!</definedName>
    <definedName name="_Key1" hidden="1">#REF!</definedName>
    <definedName name="_Key2" localSheetId="10" hidden="1">#REF!</definedName>
    <definedName name="_Key2" hidden="1">#REF!</definedName>
    <definedName name="_Order1" hidden="1">255</definedName>
    <definedName name="_Order2" hidden="1">255</definedName>
    <definedName name="_Sort" localSheetId="10" hidden="1">#REF!</definedName>
    <definedName name="_Sort" hidden="1">#REF!</definedName>
    <definedName name="ARA_Threshold" localSheetId="4">[2]Lead!$O$2</definedName>
    <definedName name="ARA_Threshold">#REF!</definedName>
    <definedName name="ARP_Threshold" localSheetId="4">[2]Lead!$N$2</definedName>
    <definedName name="ARP_Threshold">#REF!</definedName>
    <definedName name="AS2DocOpenMode" hidden="1">"AS2DocumentEdit"</definedName>
    <definedName name="AS2ReportLS" hidden="1">1</definedName>
    <definedName name="AS2StaticLS" localSheetId="10" hidden="1">#REF!</definedName>
    <definedName name="AS2StaticLS" hidden="1">#REF!</definedName>
    <definedName name="AS2SyncStepLS" hidden="1">0</definedName>
    <definedName name="AS2TickmarkLS" localSheetId="10" hidden="1">#REF!</definedName>
    <definedName name="AS2TickmarkLS" hidden="1">#REF!</definedName>
    <definedName name="AS2VersionLS" hidden="1">300</definedName>
    <definedName name="bal" localSheetId="11" hidden="1">{"'CALL MONEY'!$K$53"}</definedName>
    <definedName name="bal" localSheetId="10" hidden="1">{"'CALL MONEY'!$K$53"}</definedName>
    <definedName name="bal" hidden="1">{"'CALL MONEY'!$K$53"}</definedName>
    <definedName name="balances" localSheetId="11" hidden="1">{"'CALL MONEY'!$K$53"}</definedName>
    <definedName name="balances" localSheetId="10" hidden="1">{"'CALL MONEY'!$K$53"}</definedName>
    <definedName name="balances" hidden="1">{"'CALL MONEY'!$K$53"}</definedName>
    <definedName name="BG_Del" hidden="1">15</definedName>
    <definedName name="BG_Ins" hidden="1">4</definedName>
    <definedName name="BG_Mod" hidden="1">6</definedName>
    <definedName name="DAL_RESERVED">#REF!</definedName>
    <definedName name="DALBAL.PriorPeriod1Balance" hidden="1">#REF!</definedName>
    <definedName name="DALFirstRange">#REF!</definedName>
    <definedName name="DALS_GrandTotal" hidden="1">#REF!</definedName>
    <definedName name="DALS_Heading">#REF!</definedName>
    <definedName name="DiffAmtHeader">#REF!</definedName>
    <definedName name="DiffPercentHeader">#REF!</definedName>
    <definedName name="HTML_CodePage" hidden="1">1252</definedName>
    <definedName name="HTML_Control" localSheetId="11" hidden="1">{"'CALL MONEY'!$K$53"}</definedName>
    <definedName name="HTML_Control" localSheetId="10" hidden="1">{"'CALL MONEY'!$K$53"}</definedName>
    <definedName name="HTML_Control" hidden="1">{"'CALL MONEY'!$K$53"}</definedName>
    <definedName name="HTML_Description" hidden="1">""</definedName>
    <definedName name="HTML_Email" hidden="1">""</definedName>
    <definedName name="HTML_Header" hidden="1">"CALL MONEY"</definedName>
    <definedName name="HTML_LastUpdate" hidden="1">"27/11/02"</definedName>
    <definedName name="HTML_LineAfter" hidden="1">FALSE</definedName>
    <definedName name="HTML_LineBefore" hidden="1">FALSE</definedName>
    <definedName name="HTML_Name" hidden="1">"Sana"</definedName>
    <definedName name="HTML_OBDlg2" hidden="1">TRUE</definedName>
    <definedName name="HTML_OBDlg4" hidden="1">TRUE</definedName>
    <definedName name="HTML_OS" hidden="1">0</definedName>
    <definedName name="HTML_PathFile" hidden="1">"C:\My Documents\MyHTML.htm"</definedName>
    <definedName name="HTML_Title" hidden="1">"HOLDING 27-11-2002"</definedName>
    <definedName name="Pattern" localSheetId="11" hidden="1">{"'CALL MONEY'!$K$53"}</definedName>
    <definedName name="Pattern" localSheetId="10" hidden="1">{"'CALL MONEY'!$K$53"}</definedName>
    <definedName name="Pattern" hidden="1">{"'CALL MONEY'!$K$53"}</definedName>
    <definedName name="PRELIM_TM">#REF!</definedName>
    <definedName name="PRELIM_TM2">#REF!</definedName>
    <definedName name="_xlnm.Print_Area" localSheetId="0">BS!$A$1:$I$56</definedName>
    <definedName name="_xlnm.Print_Area" localSheetId="6">Cashflow!$A$1:$K$67</definedName>
    <definedName name="_xlnm.Print_Area" localSheetId="8">Investment!$A$1:$N$96</definedName>
    <definedName name="_xlnm.Print_Area" localSheetId="2">IS!$A$1:$L$73</definedName>
    <definedName name="_xlnm.Print_Area" localSheetId="11">'Notes 13-14'!$A$1:$K$60</definedName>
    <definedName name="_xlnm.Print_Area" localSheetId="12">'Notes 15-17 ( END )'!$A$1:$M$37</definedName>
    <definedName name="_xlnm.Print_Area" localSheetId="7">'Notes 1-6'!$A$1:$J$113</definedName>
    <definedName name="_xlnm.Print_Area" localSheetId="15">'Notes 18'!$A$1:$O$9</definedName>
    <definedName name="_xlnm.Print_Area" localSheetId="9">'Notes 7-8'!$A$1:$K$59</definedName>
    <definedName name="_xlnm.Print_Area" localSheetId="10">'Notes 9-13'!$A$1:$M$96</definedName>
    <definedName name="_xlnm.Print_Area" localSheetId="3">OCI!$A$1:$L$31</definedName>
    <definedName name="_xlnm.Print_Area" localSheetId="4">'UHF New'!$A$1:$L$72</definedName>
    <definedName name="_xlnm.Print_Area">#REF!</definedName>
    <definedName name="RESERVED_DATA" hidden="1">#REF!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PY_End">#REF!</definedName>
    <definedName name="S_RJE_Tot">#REF!</definedName>
    <definedName name="S_RowNum">#REF!</definedName>
    <definedName name="TextRefCopy19">[3]IS!$F$26</definedName>
    <definedName name="TextRefCopyRangeCount" hidden="1">35</definedName>
    <definedName name="TmpDALS_GrandTotal">#REF!</definedName>
    <definedName name="TmpRESERVED_DATA">#REF!</definedName>
    <definedName name="wsx" localSheetId="11" hidden="1">{"'CALL MONEY'!$K$53"}</definedName>
    <definedName name="wsx" localSheetId="10" hidden="1">{"'CALL MONEY'!$K$53"}</definedName>
    <definedName name="wsx" hidden="1">{"'CALL MONEY'!$K$53"}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5" i="28" l="1"/>
  <c r="I51" i="28"/>
  <c r="O6" i="28" l="1"/>
  <c r="P5" i="28"/>
  <c r="J55" i="28" l="1"/>
  <c r="L55" i="28"/>
  <c r="O5" i="28" l="1"/>
  <c r="H33" i="23" l="1"/>
  <c r="H20" i="23"/>
  <c r="H13" i="23"/>
  <c r="I38" i="14"/>
  <c r="M39" i="14"/>
  <c r="I37" i="14"/>
  <c r="K26" i="14"/>
  <c r="J93" i="25"/>
  <c r="I93" i="25"/>
  <c r="H93" i="25"/>
  <c r="G93" i="25"/>
  <c r="H9" i="25"/>
  <c r="H10" i="25"/>
  <c r="H11" i="25"/>
  <c r="H12" i="25"/>
  <c r="A21" i="25"/>
  <c r="L13" i="25"/>
  <c r="H112" i="8"/>
  <c r="G10" i="37"/>
  <c r="G9" i="37"/>
  <c r="G7" i="37"/>
  <c r="G8" i="37"/>
  <c r="G6" i="37"/>
  <c r="F39" i="3"/>
  <c r="F16" i="3"/>
  <c r="N17" i="7"/>
  <c r="J15" i="7"/>
  <c r="I40" i="25" l="1"/>
  <c r="I39" i="25"/>
  <c r="H40" i="25"/>
  <c r="H39" i="25"/>
  <c r="H38" i="25"/>
  <c r="H37" i="25"/>
  <c r="H36" i="25"/>
  <c r="H35" i="25"/>
  <c r="H34" i="25"/>
  <c r="K24" i="2"/>
  <c r="B17" i="37"/>
  <c r="F15" i="27"/>
  <c r="B16" i="37"/>
  <c r="F20" i="27"/>
  <c r="D35" i="37"/>
  <c r="B36" i="37"/>
  <c r="B35" i="37"/>
  <c r="F34" i="3" l="1"/>
  <c r="F35" i="3"/>
  <c r="E94" i="34"/>
  <c r="E100" i="34"/>
  <c r="I16" i="14"/>
  <c r="E32" i="34"/>
  <c r="E12" i="34"/>
  <c r="O3" i="28" l="1"/>
  <c r="M61" i="14"/>
  <c r="M59" i="14"/>
  <c r="N58" i="14" s="1"/>
  <c r="G112" i="8"/>
  <c r="G111" i="8"/>
  <c r="G110" i="8"/>
  <c r="G109" i="8"/>
  <c r="H111" i="8"/>
  <c r="M13" i="3" l="1"/>
  <c r="L13" i="3"/>
  <c r="H13" i="3"/>
  <c r="E81" i="34"/>
  <c r="L100" i="8" l="1"/>
  <c r="H26" i="23" l="1"/>
  <c r="K27" i="14"/>
  <c r="I27" i="14"/>
  <c r="I26" i="14"/>
  <c r="S13" i="2"/>
  <c r="S21" i="2"/>
  <c r="S23" i="2" s="1"/>
  <c r="S31" i="2"/>
  <c r="R38" i="2"/>
  <c r="R42" i="2"/>
  <c r="R49" i="2" s="1"/>
  <c r="D16" i="37" l="1"/>
  <c r="F17" i="27"/>
  <c r="H41" i="23"/>
  <c r="J92" i="28"/>
  <c r="D92" i="28"/>
  <c r="G92" i="28" s="1"/>
  <c r="M92" i="28" s="1"/>
  <c r="L90" i="28"/>
  <c r="J90" i="28"/>
  <c r="G90" i="28"/>
  <c r="M90" i="28" s="1"/>
  <c r="G88" i="28"/>
  <c r="M88" i="28" s="1"/>
  <c r="G84" i="28"/>
  <c r="M84" i="28" s="1"/>
  <c r="G81" i="28"/>
  <c r="M81" i="28" s="1"/>
  <c r="G77" i="28"/>
  <c r="M77" i="28" s="1"/>
  <c r="M74" i="28"/>
  <c r="F70" i="28"/>
  <c r="D70" i="28"/>
  <c r="G70" i="28" s="1"/>
  <c r="M70" i="28" s="1"/>
  <c r="M62" i="28"/>
  <c r="I62" i="28"/>
  <c r="J113" i="8"/>
  <c r="K15" i="2"/>
  <c r="H25" i="7" s="1"/>
  <c r="K42" i="27"/>
  <c r="K44" i="27" s="1"/>
  <c r="K47" i="27" s="1"/>
  <c r="K40" i="27"/>
  <c r="K35" i="27"/>
  <c r="L28" i="27"/>
  <c r="K28" i="27"/>
  <c r="J28" i="27"/>
  <c r="L23" i="27"/>
  <c r="K23" i="27"/>
  <c r="K30" i="27" s="1"/>
  <c r="J23" i="27"/>
  <c r="L18" i="3"/>
  <c r="H18" i="3"/>
  <c r="N13" i="3"/>
  <c r="M41" i="3"/>
  <c r="J39" i="3"/>
  <c r="F30" i="3" l="1"/>
  <c r="H18" i="7" s="1"/>
  <c r="F37" i="3"/>
  <c r="E132" i="34"/>
  <c r="F15" i="3"/>
  <c r="H17" i="7" s="1"/>
  <c r="F13" i="3"/>
  <c r="J13" i="3" s="1"/>
  <c r="H15" i="7" l="1"/>
  <c r="E50" i="34"/>
  <c r="G14" i="2" s="1"/>
  <c r="E47" i="34"/>
  <c r="J40" i="25"/>
  <c r="J38" i="25"/>
  <c r="J39" i="25"/>
  <c r="J95" i="25"/>
  <c r="G68" i="25"/>
  <c r="H68" i="25" s="1"/>
  <c r="I55" i="25"/>
  <c r="I43" i="25"/>
  <c r="H43" i="25"/>
  <c r="G43" i="25"/>
  <c r="F43" i="25"/>
  <c r="E43" i="25"/>
  <c r="N37" i="25"/>
  <c r="N36" i="25"/>
  <c r="N35" i="25"/>
  <c r="N34" i="25"/>
  <c r="P40" i="25"/>
  <c r="P39" i="25"/>
  <c r="P38" i="25"/>
  <c r="P37" i="25"/>
  <c r="K37" i="25"/>
  <c r="P36" i="25"/>
  <c r="K36" i="25"/>
  <c r="P35" i="25"/>
  <c r="K35" i="25"/>
  <c r="P34" i="25"/>
  <c r="K34" i="25"/>
  <c r="K15" i="25"/>
  <c r="I15" i="25"/>
  <c r="N12" i="25"/>
  <c r="N11" i="25"/>
  <c r="N10" i="25"/>
  <c r="N9" i="25"/>
  <c r="J13" i="25"/>
  <c r="H13" i="25"/>
  <c r="N40" i="25" l="1"/>
  <c r="N39" i="25"/>
  <c r="J15" i="25"/>
  <c r="H109" i="8" s="1"/>
  <c r="N13" i="25"/>
  <c r="J43" i="25"/>
  <c r="H110" i="8" s="1"/>
  <c r="N38" i="25"/>
  <c r="K38" i="25"/>
  <c r="K40" i="25"/>
  <c r="K39" i="25"/>
  <c r="K43" i="25" l="1"/>
  <c r="E20" i="34"/>
  <c r="H96" i="8"/>
  <c r="P33" i="3" l="1"/>
  <c r="G55" i="28" l="1"/>
  <c r="M55" i="28" s="1"/>
  <c r="I36" i="14" l="1"/>
  <c r="I34" i="14"/>
  <c r="G22" i="27"/>
  <c r="K17" i="14"/>
  <c r="K113" i="8"/>
  <c r="A3" i="8" l="1"/>
  <c r="J8" i="4"/>
  <c r="F8" i="4"/>
  <c r="F7" i="4"/>
  <c r="G53" i="28" l="1"/>
  <c r="M53" i="28" s="1"/>
  <c r="G51" i="28"/>
  <c r="M51" i="28" s="1"/>
  <c r="U49" i="28"/>
  <c r="T49" i="28"/>
  <c r="G49" i="28" l="1"/>
  <c r="M49" i="28" s="1"/>
  <c r="G25" i="2" l="1"/>
  <c r="H38" i="23" l="1"/>
  <c r="H32" i="23"/>
  <c r="H31" i="23"/>
  <c r="K49" i="27" l="1"/>
  <c r="J18" i="7"/>
  <c r="F40" i="3" l="1"/>
  <c r="F38" i="3"/>
  <c r="J38" i="3" s="1"/>
  <c r="F32" i="3"/>
  <c r="F31" i="3"/>
  <c r="F29" i="3"/>
  <c r="F28" i="3"/>
  <c r="H17" i="23" s="1"/>
  <c r="F24" i="3"/>
  <c r="J24" i="3" l="1"/>
  <c r="G13" i="2" l="1"/>
  <c r="H38" i="7" s="1"/>
  <c r="I35" i="14" l="1"/>
  <c r="I33" i="14"/>
  <c r="M57" i="14" s="1"/>
  <c r="N57" i="14" s="1"/>
  <c r="N59" i="14" s="1"/>
  <c r="G24" i="2"/>
  <c r="I15" i="14"/>
  <c r="I14" i="14"/>
  <c r="G23" i="2"/>
  <c r="I17" i="14" l="1"/>
  <c r="J14" i="2"/>
  <c r="V13" i="28" l="1"/>
  <c r="S13" i="28"/>
  <c r="R13" i="28"/>
  <c r="V12" i="28"/>
  <c r="S12" i="28"/>
  <c r="R12" i="28"/>
  <c r="A42" i="8"/>
  <c r="A78" i="8" s="1"/>
  <c r="A87" i="8" s="1"/>
  <c r="A66" i="3"/>
  <c r="A23" i="4" s="1"/>
  <c r="A59" i="7" s="1"/>
  <c r="A63" i="27" s="1"/>
  <c r="A29" i="16" s="1"/>
  <c r="A65" i="3"/>
  <c r="A22" i="4" s="1"/>
  <c r="A58" i="7" s="1"/>
  <c r="A62" i="27" s="1"/>
  <c r="A28" i="16" s="1"/>
  <c r="T13" i="28" l="1"/>
  <c r="U13" i="28" s="1"/>
  <c r="W13" i="28" s="1"/>
  <c r="T12" i="28"/>
  <c r="U12" i="28" s="1"/>
  <c r="W12" i="28" s="1"/>
  <c r="F27" i="3"/>
  <c r="F26" i="3"/>
  <c r="J26" i="3" s="1"/>
  <c r="F25" i="3"/>
  <c r="J25" i="3" l="1"/>
  <c r="H16" i="23"/>
  <c r="J27" i="3"/>
  <c r="A1" i="7" l="1"/>
  <c r="A1" i="27" l="1"/>
  <c r="A92" i="8" l="1"/>
  <c r="A105" i="8" s="1"/>
  <c r="N36" i="3" l="1"/>
  <c r="A1" i="3" l="1"/>
  <c r="I8" i="16" l="1"/>
  <c r="K8" i="16"/>
  <c r="H45" i="7" s="1"/>
  <c r="M7" i="16"/>
  <c r="N63" i="3" s="1"/>
  <c r="M8" i="16" l="1"/>
  <c r="J36" i="7" l="1"/>
  <c r="J27" i="7"/>
  <c r="J36" i="2" l="1"/>
  <c r="H27" i="27"/>
  <c r="H22" i="27" l="1"/>
  <c r="H20" i="27"/>
  <c r="H12" i="23"/>
  <c r="J31" i="3" l="1"/>
  <c r="H10" i="23"/>
  <c r="G11" i="2"/>
  <c r="N51" i="7" s="1"/>
  <c r="J15" i="3"/>
  <c r="J34" i="3"/>
  <c r="J35" i="3"/>
  <c r="F33" i="3"/>
  <c r="F41" i="3" s="1"/>
  <c r="J37" i="3"/>
  <c r="J32" i="3"/>
  <c r="K13" i="2"/>
  <c r="J36" i="3"/>
  <c r="J40" i="3"/>
  <c r="I39" i="14"/>
  <c r="M40" i="14" s="1"/>
  <c r="H11" i="23" l="1"/>
  <c r="G21" i="2"/>
  <c r="K14" i="2" l="1"/>
  <c r="H23" i="7" s="1"/>
  <c r="H97" i="8" l="1"/>
  <c r="J97" i="8"/>
  <c r="K39" i="14" l="1"/>
  <c r="S39" i="14"/>
  <c r="R39" i="14"/>
  <c r="S38" i="14"/>
  <c r="R38" i="14"/>
  <c r="V36" i="14"/>
  <c r="R36" i="14"/>
  <c r="V35" i="14"/>
  <c r="R35" i="14"/>
  <c r="O33" i="14"/>
  <c r="S35" i="14"/>
  <c r="N31" i="14"/>
  <c r="V27" i="14"/>
  <c r="S27" i="14"/>
  <c r="R27" i="14"/>
  <c r="T35" i="14" l="1"/>
  <c r="U35" i="14" s="1"/>
  <c r="W35" i="14" s="1"/>
  <c r="T27" i="14"/>
  <c r="U27" i="14" s="1"/>
  <c r="W27" i="14" s="1"/>
  <c r="R30" i="14"/>
  <c r="R31" i="14" s="1"/>
  <c r="S36" i="14"/>
  <c r="T36" i="14" s="1"/>
  <c r="U36" i="14" s="1"/>
  <c r="W36" i="14" s="1"/>
  <c r="H113" i="8" l="1"/>
  <c r="G12" i="2" l="1"/>
  <c r="G35" i="27"/>
  <c r="M40" i="25" l="1"/>
  <c r="M39" i="25"/>
  <c r="L113" i="8"/>
  <c r="M13" i="25"/>
  <c r="E15" i="33"/>
  <c r="I18" i="33" s="1"/>
  <c r="J18" i="33" s="1"/>
  <c r="D15" i="33"/>
  <c r="I19" i="33" s="1"/>
  <c r="O13" i="33"/>
  <c r="O14" i="33" s="1"/>
  <c r="E10" i="33"/>
  <c r="I9" i="33" s="1"/>
  <c r="J9" i="33" s="1"/>
  <c r="D10" i="33"/>
  <c r="I10" i="33" s="1"/>
  <c r="J10" i="33" s="1"/>
  <c r="P13" i="33" l="1"/>
  <c r="I20" i="33"/>
  <c r="J19" i="33"/>
  <c r="I11" i="33"/>
  <c r="Q55" i="3"/>
  <c r="I12" i="33" l="1"/>
  <c r="J11" i="33"/>
  <c r="I21" i="33"/>
  <c r="O17" i="33" s="1"/>
  <c r="J20" i="33"/>
  <c r="L42" i="2" l="1"/>
  <c r="L49" i="2" s="1"/>
  <c r="M42" i="2"/>
  <c r="N42" i="2"/>
  <c r="N49" i="2" s="1"/>
  <c r="O42" i="2"/>
  <c r="P42" i="2"/>
  <c r="P49" i="2" s="1"/>
  <c r="S52" i="3" l="1"/>
  <c r="M41" i="28"/>
  <c r="I41" i="28"/>
  <c r="Q24" i="28"/>
  <c r="S53" i="3" l="1"/>
  <c r="S55" i="3"/>
  <c r="H50" i="7" l="1"/>
  <c r="B3" i="14" l="1"/>
  <c r="G26" i="2" l="1"/>
  <c r="S27" i="2" s="1"/>
  <c r="B105" i="8"/>
  <c r="B92" i="8"/>
  <c r="A1" i="4" l="1"/>
  <c r="A1" i="8" s="1"/>
  <c r="G53" i="27" l="1"/>
  <c r="T32" i="7" l="1"/>
  <c r="H34" i="7" l="1"/>
  <c r="G42" i="27" l="1"/>
  <c r="H12" i="27"/>
  <c r="A58" i="27"/>
  <c r="A46" i="27"/>
  <c r="F28" i="27"/>
  <c r="G17" i="27"/>
  <c r="K18" i="33" l="1"/>
  <c r="H23" i="27"/>
  <c r="H44" i="7" l="1"/>
  <c r="H15" i="27"/>
  <c r="K19" i="33"/>
  <c r="H16" i="27" l="1"/>
  <c r="K9" i="33"/>
  <c r="M18" i="3"/>
  <c r="H17" i="27" l="1"/>
  <c r="I26" i="2"/>
  <c r="H43" i="7" l="1"/>
  <c r="K10" i="33"/>
  <c r="R86" i="3"/>
  <c r="Q86" i="3"/>
  <c r="O86" i="3"/>
  <c r="N86" i="3"/>
  <c r="P85" i="3"/>
  <c r="P84" i="3"/>
  <c r="P83" i="3"/>
  <c r="P82" i="3"/>
  <c r="P81" i="3"/>
  <c r="P79" i="3"/>
  <c r="P86" i="3" l="1"/>
  <c r="N87" i="3"/>
  <c r="O87" i="3" s="1"/>
  <c r="K11" i="2" l="1"/>
  <c r="L12" i="23" l="1"/>
  <c r="J46" i="7" l="1"/>
  <c r="A62" i="3" l="1"/>
  <c r="Q24" i="7" l="1"/>
  <c r="L27" i="7"/>
  <c r="J30" i="3" l="1"/>
  <c r="G38" i="27" l="1"/>
  <c r="N55" i="3"/>
  <c r="F18" i="3"/>
  <c r="F43" i="3" s="1"/>
  <c r="P18" i="3"/>
  <c r="O18" i="3"/>
  <c r="L8" i="3" l="1"/>
  <c r="A55" i="7"/>
  <c r="L46" i="7"/>
  <c r="L36" i="7"/>
  <c r="O41" i="4"/>
  <c r="T40" i="4"/>
  <c r="P40" i="4"/>
  <c r="S36" i="4"/>
  <c r="Q36" i="4"/>
  <c r="R34" i="4"/>
  <c r="A19" i="4"/>
  <c r="L9" i="4"/>
  <c r="J9" i="4"/>
  <c r="L41" i="3"/>
  <c r="H41" i="3"/>
  <c r="S34" i="3"/>
  <c r="J33" i="3"/>
  <c r="J29" i="3"/>
  <c r="J16" i="3"/>
  <c r="J8" i="3"/>
  <c r="P28" i="2"/>
  <c r="K23" i="2"/>
  <c r="H32" i="7" s="1"/>
  <c r="K22" i="2"/>
  <c r="H31" i="7" s="1"/>
  <c r="H70" i="7"/>
  <c r="L43" i="3" l="1"/>
  <c r="L47" i="3" s="1"/>
  <c r="H43" i="3"/>
  <c r="H47" i="3" s="1"/>
  <c r="M43" i="3"/>
  <c r="O41" i="3"/>
  <c r="A99" i="8"/>
  <c r="G96" i="8" s="1"/>
  <c r="A44" i="8"/>
  <c r="K21" i="2"/>
  <c r="H30" i="7" s="1"/>
  <c r="J28" i="3"/>
  <c r="J12" i="7" l="1"/>
  <c r="J19" i="7" s="1"/>
  <c r="J39" i="7" s="1"/>
  <c r="J18" i="3"/>
  <c r="H50" i="3"/>
  <c r="H52" i="3" s="1"/>
  <c r="H57" i="3" s="1"/>
  <c r="H56" i="3" s="1"/>
  <c r="F11" i="2"/>
  <c r="M47" i="3"/>
  <c r="M12" i="4" s="1"/>
  <c r="M16" i="4" s="1"/>
  <c r="J41" i="3"/>
  <c r="A3" i="14" l="1"/>
  <c r="A27" i="14" s="1"/>
  <c r="G16" i="2"/>
  <c r="K12" i="2"/>
  <c r="H22" i="7" s="1"/>
  <c r="F47" i="3"/>
  <c r="O46" i="3"/>
  <c r="Q27" i="7"/>
  <c r="M50" i="3"/>
  <c r="M52" i="3" s="1"/>
  <c r="F12" i="2"/>
  <c r="J43" i="3"/>
  <c r="J47" i="3" s="1"/>
  <c r="I16" i="2"/>
  <c r="K25" i="2"/>
  <c r="H35" i="7" s="1"/>
  <c r="K30" i="2"/>
  <c r="S17" i="2" l="1"/>
  <c r="S35" i="2"/>
  <c r="A41" i="14"/>
  <c r="A54" i="14" s="1"/>
  <c r="H32" i="14" s="1"/>
  <c r="A1" i="28"/>
  <c r="A6" i="28" s="1"/>
  <c r="A10" i="28" s="1"/>
  <c r="A19" i="28" s="1"/>
  <c r="A24" i="28" s="1"/>
  <c r="A43" i="23" s="1"/>
  <c r="A1" i="16" s="1"/>
  <c r="A13" i="16" s="1"/>
  <c r="A23" i="16" s="1"/>
  <c r="F50" i="3"/>
  <c r="H12" i="7"/>
  <c r="G30" i="2"/>
  <c r="A19" i="14"/>
  <c r="A23" i="14" s="1"/>
  <c r="F25" i="2"/>
  <c r="F21" i="2"/>
  <c r="R26" i="7"/>
  <c r="H27" i="7"/>
  <c r="O29" i="7"/>
  <c r="O30" i="7" s="1"/>
  <c r="S32" i="7"/>
  <c r="Q29" i="7"/>
  <c r="P30" i="7"/>
  <c r="P31" i="7" s="1"/>
  <c r="Q26" i="7"/>
  <c r="M56" i="3"/>
  <c r="M57" i="3"/>
  <c r="I30" i="2"/>
  <c r="K26" i="2"/>
  <c r="H36" i="7"/>
  <c r="L19" i="7"/>
  <c r="L39" i="7" s="1"/>
  <c r="L48" i="7" s="1"/>
  <c r="L52" i="7" s="1"/>
  <c r="M56" i="14" l="1"/>
  <c r="M58" i="14" s="1"/>
  <c r="M60" i="14" s="1"/>
  <c r="M62" i="14" s="1"/>
  <c r="L39" i="25"/>
  <c r="L40" i="25"/>
  <c r="G40" i="2"/>
  <c r="J40" i="2"/>
  <c r="H31" i="14"/>
  <c r="M49" i="2"/>
  <c r="E30" i="3"/>
  <c r="M40" i="2"/>
  <c r="N40" i="2" s="1"/>
  <c r="O40" i="2" s="1"/>
  <c r="K16" i="2" l="1"/>
  <c r="K31" i="2" l="1"/>
  <c r="G55" i="27" l="1"/>
  <c r="L40" i="2"/>
  <c r="M38" i="2" s="1"/>
  <c r="N38" i="2" s="1"/>
  <c r="O38" i="2" s="1"/>
  <c r="F12" i="4" l="1"/>
  <c r="J12" i="4" s="1"/>
  <c r="H19" i="7" l="1"/>
  <c r="H39" i="7" s="1"/>
  <c r="F16" i="4"/>
  <c r="G26" i="27" s="1"/>
  <c r="H12" i="4"/>
  <c r="H16" i="4" s="1"/>
  <c r="J48" i="7" s="1"/>
  <c r="J52" i="7" s="1"/>
  <c r="L55" i="7" s="1"/>
  <c r="H26" i="27" l="1"/>
  <c r="H28" i="27" s="1"/>
  <c r="H30" i="27" s="1"/>
  <c r="G28" i="27"/>
  <c r="J16" i="4"/>
  <c r="G32" i="2" l="1"/>
  <c r="S32" i="2" s="1"/>
  <c r="S33" i="2" s="1"/>
  <c r="L12" i="4"/>
  <c r="L16" i="4" s="1"/>
  <c r="K32" i="2" l="1"/>
  <c r="G57" i="2"/>
  <c r="O49" i="2" l="1"/>
  <c r="H46" i="7"/>
  <c r="H48" i="7" l="1"/>
  <c r="H52" i="7" s="1"/>
  <c r="K33" i="2"/>
  <c r="G58" i="2"/>
  <c r="N52" i="7" l="1"/>
  <c r="O51" i="7"/>
  <c r="H71" i="7"/>
  <c r="F52" i="3" l="1"/>
  <c r="F57" i="3" s="1"/>
  <c r="F23" i="27" l="1"/>
  <c r="F30" i="27" s="1"/>
  <c r="F56" i="3"/>
  <c r="G39" i="27" s="1"/>
  <c r="G40" i="27" s="1"/>
  <c r="G44" i="27" s="1"/>
  <c r="G47" i="27" s="1"/>
  <c r="G49" i="27" s="1"/>
  <c r="G23" i="27"/>
  <c r="G30" i="27" s="1"/>
  <c r="N62" i="3"/>
  <c r="N64" i="3" s="1"/>
  <c r="K20" i="33" l="1"/>
  <c r="F28" i="2" l="1"/>
  <c r="E59" i="3" l="1"/>
  <c r="E45" i="3"/>
  <c r="A38" i="28" l="1"/>
  <c r="A2" i="23" s="1"/>
  <c r="A25" i="23" s="1"/>
  <c r="L17" i="27" l="1"/>
  <c r="L30" i="27" s="1"/>
  <c r="J17" i="27"/>
  <c r="J30" i="27" s="1"/>
</calcChain>
</file>

<file path=xl/comments1.xml><?xml version="1.0" encoding="utf-8"?>
<comments xmlns="http://schemas.openxmlformats.org/spreadsheetml/2006/main">
  <authors>
    <author>Syed Mohammad Aown Hassan</author>
  </authors>
  <commentList>
    <comment ref="M56" authorId="0" shapeId="0">
      <text>
        <r>
          <rPr>
            <b/>
            <sz val="9"/>
            <color indexed="81"/>
            <rFont val="Tahoma"/>
            <family val="2"/>
          </rPr>
          <t>Syed Mohammad Aown Hassan:</t>
        </r>
        <r>
          <rPr>
            <sz val="9"/>
            <color indexed="81"/>
            <rFont val="Tahoma"/>
            <family val="2"/>
          </rPr>
          <t xml:space="preserve">
Current NAV
</t>
        </r>
      </text>
    </comment>
    <comment ref="M57" authorId="0" shapeId="0">
      <text>
        <r>
          <rPr>
            <b/>
            <sz val="9"/>
            <color indexed="81"/>
            <rFont val="Tahoma"/>
            <family val="2"/>
          </rPr>
          <t>Syed Mohammad Aown Hassan:</t>
        </r>
        <r>
          <rPr>
            <sz val="9"/>
            <color indexed="81"/>
            <rFont val="Tahoma"/>
            <family val="2"/>
          </rPr>
          <t xml:space="preserve">
FED
</t>
        </r>
      </text>
    </comment>
    <comment ref="M59" authorId="0" shapeId="0">
      <text>
        <r>
          <rPr>
            <b/>
            <sz val="9"/>
            <color indexed="81"/>
            <rFont val="Tahoma"/>
            <family val="2"/>
          </rPr>
          <t>Syed Mohammad Aown Hassan:</t>
        </r>
        <r>
          <rPr>
            <sz val="9"/>
            <color indexed="81"/>
            <rFont val="Tahoma"/>
            <family val="2"/>
          </rPr>
          <t xml:space="preserve">
UNITS</t>
        </r>
      </text>
    </comment>
  </commentList>
</comments>
</file>

<file path=xl/sharedStrings.xml><?xml version="1.0" encoding="utf-8"?>
<sst xmlns="http://schemas.openxmlformats.org/spreadsheetml/2006/main" count="770" uniqueCount="563">
  <si>
    <t>(Audited)</t>
  </si>
  <si>
    <t>Note</t>
  </si>
  <si>
    <t>Investments</t>
  </si>
  <si>
    <t/>
  </si>
  <si>
    <t>Total assets</t>
  </si>
  <si>
    <t>Payable to the Securities and Exchange Commission of Pakistan</t>
  </si>
  <si>
    <t>Accrued expenses and other liabilities</t>
  </si>
  <si>
    <t>Total liabilities</t>
  </si>
  <si>
    <t>NET ASSETS</t>
  </si>
  <si>
    <t>closing</t>
  </si>
  <si>
    <t>(Rupees)</t>
  </si>
  <si>
    <t>Quarter ended</t>
  </si>
  <si>
    <t>Total income</t>
  </si>
  <si>
    <t>Securities transaction cost</t>
  </si>
  <si>
    <t>Bank charges</t>
  </si>
  <si>
    <t>Fees and subscriptions</t>
  </si>
  <si>
    <t>Legal and professional charges</t>
  </si>
  <si>
    <t>Auditors' remuneration</t>
  </si>
  <si>
    <t>Printing and related costs</t>
  </si>
  <si>
    <t>Total expenses</t>
  </si>
  <si>
    <t>Net income for the period before taxation</t>
  </si>
  <si>
    <t>Taxation</t>
  </si>
  <si>
    <t>Total comprehensive income for the period</t>
  </si>
  <si>
    <t>Undistributed income carried forward</t>
  </si>
  <si>
    <t>Net assets at beginning of the period</t>
  </si>
  <si>
    <t>CASH FLOWS FROM OPERATING ACTIVITIES</t>
  </si>
  <si>
    <t>CASH FLOWS FROM FINANCING ACTIVITIES</t>
  </si>
  <si>
    <t>Receipts from issuance of units</t>
  </si>
  <si>
    <t>Payments on redemption of units</t>
  </si>
  <si>
    <t>Cash and cash equivalents at beginning of the period</t>
  </si>
  <si>
    <t>Cash and cash equivalents at end of the period</t>
  </si>
  <si>
    <t xml:space="preserve"> </t>
  </si>
  <si>
    <t>1.</t>
  </si>
  <si>
    <t>LEGAL STATUS AND NATURE OF BUSINESS</t>
  </si>
  <si>
    <t>FINANCIAL RISK MANAGEMENT</t>
  </si>
  <si>
    <t>At fair value through profit or loss</t>
  </si>
  <si>
    <t>Level</t>
  </si>
  <si>
    <t>Total</t>
  </si>
  <si>
    <t>Name of investee company</t>
  </si>
  <si>
    <t>Purchased during the period</t>
  </si>
  <si>
    <t>Market value</t>
  </si>
  <si>
    <t>Carrying value</t>
  </si>
  <si>
    <t>*</t>
  </si>
  <si>
    <t>- Management fee</t>
  </si>
  <si>
    <t>Other</t>
  </si>
  <si>
    <t>Federal Excise Duty and related tax payable</t>
  </si>
  <si>
    <t>CONTINGENCIES AND COMMITMENTS</t>
  </si>
  <si>
    <t>(Unaudited)</t>
  </si>
  <si>
    <t>TAXATION</t>
  </si>
  <si>
    <t>TRANSACTIONS WITH CONNECTED PERSONS</t>
  </si>
  <si>
    <t>Remuneration including indirect taxes</t>
  </si>
  <si>
    <t>Brokerage payable</t>
  </si>
  <si>
    <t>EXPENSE RATIO</t>
  </si>
  <si>
    <t>Other income</t>
  </si>
  <si>
    <t>Net assets</t>
  </si>
  <si>
    <t>WWF Provision</t>
  </si>
  <si>
    <t>Net assets before provision</t>
  </si>
  <si>
    <t>Nav per unit after provision</t>
  </si>
  <si>
    <t>Nav per unit before provision</t>
  </si>
  <si>
    <t>Decrease per unit</t>
  </si>
  <si>
    <t>FED Provision</t>
  </si>
  <si>
    <t xml:space="preserve"> ------------------- (Rupees in '000) -------------------</t>
  </si>
  <si>
    <t>---------------------- (Rupees in '000) ----------------------</t>
  </si>
  <si>
    <t xml:space="preserve"> -------------------- (Rupees in '000) ---------------------</t>
  </si>
  <si>
    <t>--------- (Rupees in '000) ---------</t>
  </si>
  <si>
    <t>---- (Rupees in '000) ----</t>
  </si>
  <si>
    <t>Provision for Sindh Workers' Welfare Fund</t>
  </si>
  <si>
    <t>Details of transactions with the connected persons / related parties during the period are as follows:</t>
  </si>
  <si>
    <t>MCB-Arif Habib Savings and Investments Limited - Management Company</t>
  </si>
  <si>
    <t>-------- (Rupees in '000) --------</t>
  </si>
  <si>
    <t xml:space="preserve"> (Rupees in '000) </t>
  </si>
  <si>
    <t>Capital Value</t>
  </si>
  <si>
    <t>- Element of income</t>
  </si>
  <si>
    <t>Distribution during the period</t>
  </si>
  <si>
    <t>Net assets value per unit at beginning of the period</t>
  </si>
  <si>
    <t>Net assets value per unit at end of the period</t>
  </si>
  <si>
    <t>Net income for the period</t>
  </si>
  <si>
    <t>Income already paid on units redeemed</t>
  </si>
  <si>
    <t>Preliminary expenses and floatation costs</t>
  </si>
  <si>
    <t>Receivable against sale of investments</t>
  </si>
  <si>
    <t>Payable against purchase of investments</t>
  </si>
  <si>
    <t>`+1</t>
  </si>
  <si>
    <t>Marketing and selling expense</t>
  </si>
  <si>
    <t>Amortization of preliminary expenses and formation costs</t>
  </si>
  <si>
    <t>Sindh Sales Tax on remuneration of the Trustee</t>
  </si>
  <si>
    <t>MCB Bank Limited - Holding Company of the Management Company</t>
  </si>
  <si>
    <t>Management remuneration payable</t>
  </si>
  <si>
    <t>Sindh sales tax payable on management remuneration</t>
  </si>
  <si>
    <t>MCB Bank Limited - Parent of the Management Company</t>
  </si>
  <si>
    <t>Bank balances</t>
  </si>
  <si>
    <t>Distribution</t>
  </si>
  <si>
    <t>DISTRIBUTIONS MADE DURING THE PERIOD</t>
  </si>
  <si>
    <t>Units</t>
  </si>
  <si>
    <t>Amount</t>
  </si>
  <si>
    <t>-</t>
  </si>
  <si>
    <t>International Financial Reporting Standards (IFRS Standards) issued by the International Accounting Standards Board (IASB) as notified under the Companies Act, 2017;</t>
  </si>
  <si>
    <t>Provisions of and directives issued under the Companies Act, 2017, along with part VIIIA of the repealed Companies Ordinance, 1984; and</t>
  </si>
  <si>
    <t>TOTAL</t>
  </si>
  <si>
    <t>Back Office Exp</t>
  </si>
  <si>
    <t>SST</t>
  </si>
  <si>
    <t>Settlement and bank charges</t>
  </si>
  <si>
    <t>FAIR VALUE OF FINANCIAL INSTRUMENTS</t>
  </si>
  <si>
    <t>DATE OF AUTHORISATION FOR ISSUE</t>
  </si>
  <si>
    <t>Capital Gain</t>
  </si>
  <si>
    <t>Refund of EOI</t>
  </si>
  <si>
    <t>Dividend Am</t>
  </si>
  <si>
    <t>Dividend payable</t>
  </si>
  <si>
    <t>Sindh Sales Tax on remuneration of the Management Company</t>
  </si>
  <si>
    <t>Sindh Sales Tax on remuneration of trustee</t>
  </si>
  <si>
    <t>Annual fee of Securities and Exchange Commission of Pakistan</t>
  </si>
  <si>
    <t>Excluding capital gains</t>
  </si>
  <si>
    <t>Statement of compliance</t>
  </si>
  <si>
    <t>BASIS OF PREPARATION</t>
  </si>
  <si>
    <t xml:space="preserve">Unrealised appreciation/ (diminution) </t>
  </si>
  <si>
    <t>As percentage of net assets</t>
  </si>
  <si>
    <t>As percentage of total investments</t>
  </si>
  <si>
    <t>Issue date</t>
  </si>
  <si>
    <t>Investment as a percentage of total issue size</t>
  </si>
  <si>
    <t>Rating</t>
  </si>
  <si>
    <t>Tenure</t>
  </si>
  <si>
    <t>Profit payments / principal redemptions</t>
  </si>
  <si>
    <t>Secured / unsecured</t>
  </si>
  <si>
    <t>Maturity date</t>
  </si>
  <si>
    <t>Rate of return</t>
  </si>
  <si>
    <t>IFRS 13 - 'Fair Value Measurement' establishes a single source of guidance under IFRS for all fair value measurements and disclosures about fair value measurement where such measurements are required as permitted by other IFRSs. It defines fair value as the price that would be received to sell an asset or paid to transfer a liability in an orderly transaction between market participants at the measurement date (i.e. an exit price).</t>
  </si>
  <si>
    <t>Financial assets which are tradable in an open market are revalued at the market prices prevailing on the close of trading i.e., period end. The estimated fair value of all other financial assets and financial liabilities is considered not significantly different from book value as these are short term in nature.</t>
  </si>
  <si>
    <t>The following table shows financial instruments recognized at fair value based on:</t>
  </si>
  <si>
    <t xml:space="preserve">Accounting income available for distribution </t>
  </si>
  <si>
    <t>- Relating to capital gains</t>
  </si>
  <si>
    <t>- Excluding capital gains</t>
  </si>
  <si>
    <t xml:space="preserve">    Chief Financial Officer                          Chief Executive Officer                             Chairman                          Director</t>
  </si>
  <si>
    <t>The income of the Fund is exempt from income tax under clause 99 of Part I to the Second Schedule of the Income Tax Ordinance, 2001 subject to the condition that not less than 90 percent of its accounting income for the period, as reduced by capital gains, whether realised or unrealised, is distributed amongst the unitholders. Accordingly, the Fund has not recorded a tax liability in respect of  income relating to the current period as the Fund intends to avail this exemption.</t>
  </si>
  <si>
    <t>Distributions during the period</t>
  </si>
  <si>
    <t>Net assets as at the end of the period</t>
  </si>
  <si>
    <t>Allocated expenses</t>
  </si>
  <si>
    <t>c/f</t>
  </si>
  <si>
    <t>During year</t>
  </si>
  <si>
    <t>Closing</t>
  </si>
  <si>
    <t xml:space="preserve">Allocated expenses </t>
  </si>
  <si>
    <t>- Sukuk Certificates - Unlisted</t>
  </si>
  <si>
    <t>One note has to be updated</t>
  </si>
  <si>
    <t xml:space="preserve">Sindh Sales Tax payable on Trustee remuneration </t>
  </si>
  <si>
    <t>Issued
 for cash</t>
  </si>
  <si>
    <t>Bonus</t>
  </si>
  <si>
    <t>Redeemed</t>
  </si>
  <si>
    <t>--------------------------------- (Rupees in '000) ---------------------------------</t>
  </si>
  <si>
    <t>Related parties / Connected persons of the Fund include the Management Company, other collective investment schemes being managed by the Management Company, MCB Bank Limited being the holding company of the Management Company, the Trustee, directors and key management personnel, other associated undertaking and unit holders holding more than 10% units of the Fund.</t>
  </si>
  <si>
    <t>-17,132 1,020,853</t>
  </si>
  <si>
    <t>AFS Income</t>
  </si>
  <si>
    <t>Capital Gain/(Loss)</t>
  </si>
  <si>
    <t>Other Income</t>
  </si>
  <si>
    <t>Total Income already paid</t>
  </si>
  <si>
    <t>Alhamra Islamic Stock Fund:</t>
  </si>
  <si>
    <t>Summary</t>
  </si>
  <si>
    <t>Total Issuance:</t>
  </si>
  <si>
    <t>Total ADDITIONAL_UNITS</t>
  </si>
  <si>
    <t>Total SALE</t>
  </si>
  <si>
    <t>Total CGT Refund</t>
  </si>
  <si>
    <t>Issuance</t>
  </si>
  <si>
    <t>Total DIVIDEND_ANNOUNCM</t>
  </si>
  <si>
    <t>Opening NAV</t>
  </si>
  <si>
    <t>Total TRANSFER_IN</t>
  </si>
  <si>
    <t>Total receipts</t>
  </si>
  <si>
    <t>Total Redemption:</t>
  </si>
  <si>
    <t>Element</t>
  </si>
  <si>
    <t>Total REDEMPTION</t>
  </si>
  <si>
    <t>In Thousand</t>
  </si>
  <si>
    <t>Total Income</t>
  </si>
  <si>
    <t>Total CONVERSION_OUT</t>
  </si>
  <si>
    <t>Element of Income Paid</t>
  </si>
  <si>
    <t>Total TRANSFER_OUT</t>
  </si>
  <si>
    <t>Redemption:</t>
  </si>
  <si>
    <t>Round off issue</t>
  </si>
  <si>
    <t>Matched</t>
  </si>
  <si>
    <t>Capital value</t>
  </si>
  <si>
    <t>Issue Date</t>
  </si>
  <si>
    <t>ACCRUED EXPENSES AND OTHER LIABILITIES</t>
  </si>
  <si>
    <t>Purchase of Nil (2019: 000) shares</t>
  </si>
  <si>
    <t>Sale of Nil (2019: 000) shares</t>
  </si>
  <si>
    <t>Sale of securities having a face value of Nil (2019:000)</t>
  </si>
  <si>
    <t>PAYABLE TO LEGAL ADVISOR</t>
  </si>
  <si>
    <t>ADVANCES AGAINST TAX DEDUCTED AGAINST BANK PROFIT</t>
  </si>
  <si>
    <t>Advance Tax Deducted On Mts Income</t>
  </si>
  <si>
    <t>OTHER RECEIVABLE</t>
  </si>
  <si>
    <t>Trail Balance</t>
  </si>
  <si>
    <t>Account Code</t>
  </si>
  <si>
    <t>Account Name</t>
  </si>
  <si>
    <t>Debit</t>
  </si>
  <si>
    <t>Credit</t>
  </si>
  <si>
    <t>BANK BALANCES - MCB BANK LIMITED - GLOBAL TRANSACTION - SHAHEEN COMPLEX BRANCH</t>
  </si>
  <si>
    <t>Bank Balances - United Bank Limited - Ameen Branch</t>
  </si>
  <si>
    <t>Bank Balances - Dubai Islamic Bank - Kse Branch</t>
  </si>
  <si>
    <t>BANK BALANCES - MEEZAN BANK LIMITED - KSE BRANCH</t>
  </si>
  <si>
    <t>Bank Balances -Allied Bank Limited Islamic Corporate Saddar Branch</t>
  </si>
  <si>
    <t>BANK BALANCES - FAYSAL BANK LIMITED-ISLAMIC</t>
  </si>
  <si>
    <t>Bank Balances - National Bank Of Pakistan  Islamic-Tariq Road Branch</t>
  </si>
  <si>
    <t>INVESTMENTS IN TFC FACE VALUE HFT</t>
  </si>
  <si>
    <t>PROFIT ON PLACEMENT</t>
  </si>
  <si>
    <t>PROFIT RECEIVABLE - ALLIED BANK LIMITED - FOREIGN EXCHANGE BRANCH</t>
  </si>
  <si>
    <t>PROFIT RECEIVABLE - BANK AL FALAH LIMITED  - KSE</t>
  </si>
  <si>
    <t>PROFIT RECEIVABLE - HABIB METROPOLITAN BANK LIMITED - KARACHI STOCK EXCHANGE BRANCH</t>
  </si>
  <si>
    <t>Profit Receivable - United Bank Limited - Ameen Branch</t>
  </si>
  <si>
    <t>Profit Receivable - Dubai Islamic Bank - Kse Branch</t>
  </si>
  <si>
    <t>Profit Receivable - Silk Bank Limited - Main Branch</t>
  </si>
  <si>
    <t>Profit Receivable -National Bank Of Pakistan Islamic-Tariq Road Branch</t>
  </si>
  <si>
    <t>Profit Receivable -Allied Bank Limited (Islamic)-Saddar Branch</t>
  </si>
  <si>
    <t>ACCRUED PROFIT ON TFC</t>
  </si>
  <si>
    <t>ADVANCES AGAINST TAX DEDUCTED AGAINST DIVIDEND INCOME</t>
  </si>
  <si>
    <t>SECURITY DEPOSITS  CDC</t>
  </si>
  <si>
    <t>Prepayment Of Psx Against Annual Listing Fee</t>
  </si>
  <si>
    <t>FORMATION COST</t>
  </si>
  <si>
    <t>AMORTISATION OF FORMATION COST</t>
  </si>
  <si>
    <t>ISSUED OF UNITS AGAINST SALE OF UNITS</t>
  </si>
  <si>
    <t>REDEMPTION OF UNITS  NORMAL</t>
  </si>
  <si>
    <t>CONVERSION IN UNITS</t>
  </si>
  <si>
    <t>CONVERSION OUT UNITS</t>
  </si>
  <si>
    <t>ELEMENT OF INCOME  UNREALIZED</t>
  </si>
  <si>
    <t>UNAPPROPRIATED INCOME</t>
  </si>
  <si>
    <t>BALANCE ACCOUNT</t>
  </si>
  <si>
    <t>MANAGEMENT FEE PAYABLE</t>
  </si>
  <si>
    <t>SALE LOAD PAYABLE</t>
  </si>
  <si>
    <t>SALES TAX PAYABLE AGAINST MANAGEMENT FEE</t>
  </si>
  <si>
    <t>FED TAX PAYABLE AGAINST MANAGEMENT FEE</t>
  </si>
  <si>
    <t>Fed Tax Payable Against Sales Load</t>
  </si>
  <si>
    <t>TRUSTEE REMUNERATION PAYABLE</t>
  </si>
  <si>
    <t>PAYABLE TO SECP  ANNUAL FEE</t>
  </si>
  <si>
    <t>DIVIDEND PAYABLE</t>
  </si>
  <si>
    <t>BROKERAGE PAYABLE MONEY MARKET</t>
  </si>
  <si>
    <t>WORKER'S WELFARE FUND PAYABLE</t>
  </si>
  <si>
    <t>AUDIT FEE PAYABLE</t>
  </si>
  <si>
    <t>WITHHOLDING TAX PAYABLE  CGT U/S 37A</t>
  </si>
  <si>
    <t>PRINTING CHARGES PAYABLE</t>
  </si>
  <si>
    <t>Back Office Operation Payable</t>
  </si>
  <si>
    <t>Marketing And Selling Payable</t>
  </si>
  <si>
    <t>CAPITAL GAIN / (LOSS) ON SALE OF DEBT SECURITIES</t>
  </si>
  <si>
    <t>Profit On - United Bank Limited - Ameen Branch</t>
  </si>
  <si>
    <t>Profit On - Dubai Islamic Bank - Kse Branch</t>
  </si>
  <si>
    <t>Profit On - Meezan Bank Limited - KSE Branch</t>
  </si>
  <si>
    <t>Profit On -National Bank Of Pakistan Islamic-Tariq Road Branch</t>
  </si>
  <si>
    <t>Profit on -Allied Bank Limited (Islamic)-Saddar Branch</t>
  </si>
  <si>
    <t>RETURN ON TERM DEPOSIT ACCOUNTS</t>
  </si>
  <si>
    <t>INCOME ON TFC</t>
  </si>
  <si>
    <t>AMORTIZATION / DISCOUNT ON DEBT SECURITIES - TFC</t>
  </si>
  <si>
    <t>ELEMENT OF INCOME - UNREALIZED</t>
  </si>
  <si>
    <t>MANAGEMENT COMPANY REMUNERATION</t>
  </si>
  <si>
    <t>SALES TAX ON MANAGEMENT COMPANY REMUNERATION</t>
  </si>
  <si>
    <t>FED EXPENSE ON MGM FEE</t>
  </si>
  <si>
    <t>TRUSTEE REMUNERATION</t>
  </si>
  <si>
    <t>Sales Tax On Trustee Fee</t>
  </si>
  <si>
    <t>SECP ANNUAL FEE</t>
  </si>
  <si>
    <t>Back Office Operation Expenses</t>
  </si>
  <si>
    <t>SST on Back Office Operation Expenses</t>
  </si>
  <si>
    <t>Marketing And Selling Expense</t>
  </si>
  <si>
    <t>BROKERAGE EXPENSE  MONEY MARKET TRANSACTIONS</t>
  </si>
  <si>
    <t>SETT CHG  TRUSTEE</t>
  </si>
  <si>
    <t>SETT CHG  NCCPL  DEBT SECURITY TRANSACTIONS</t>
  </si>
  <si>
    <t>TAXATIONWORKERS WELFARE FUND (WWF)</t>
  </si>
  <si>
    <t>AUDIT FEE EXPENSE</t>
  </si>
  <si>
    <t>LEGAL AND PROFESSIONAL CHARGES</t>
  </si>
  <si>
    <t>Fee &amp; Subscription Annual Listing Fee Psx</t>
  </si>
  <si>
    <t>PRINTING OF ACCOUNTS CHARGES</t>
  </si>
  <si>
    <t>BANK CHARGES - ALLIED BANK LIMITED</t>
  </si>
  <si>
    <t>BANK CHARGES - MEEZAN BANK LIMITED</t>
  </si>
  <si>
    <t>BANK CHARGES - UNITED BANK LIMITED</t>
  </si>
  <si>
    <t>Bank Charges - Dubai Islamic Bank Pakistan Limited</t>
  </si>
  <si>
    <t>Investment through pnl or amortized cost</t>
  </si>
  <si>
    <t>WHY tax is being deducted?</t>
  </si>
  <si>
    <t>Tax return</t>
  </si>
  <si>
    <t>Rs in 000</t>
  </si>
  <si>
    <t>Tax and legal confirmation</t>
  </si>
  <si>
    <t>Internal audit report</t>
  </si>
  <si>
    <t>Shariah Advisor Report</t>
  </si>
  <si>
    <t>Receivable from management?</t>
  </si>
  <si>
    <t>Why Decrease in NCCPL deposit</t>
  </si>
  <si>
    <t>Allocated Expense payable(why not only last month?)</t>
  </si>
  <si>
    <t>SECP and trustee fee inconsistent with workings?</t>
  </si>
  <si>
    <t>SEP comapritive</t>
  </si>
  <si>
    <t>AMOUNT</t>
  </si>
  <si>
    <t>Tax Return</t>
  </si>
  <si>
    <t xml:space="preserve">Audit remureration ki OP </t>
  </si>
  <si>
    <t>element ki working</t>
  </si>
  <si>
    <t>TFC ki unrealized=intreset receivable</t>
  </si>
  <si>
    <t>Note 8.4</t>
  </si>
  <si>
    <t>Distrbution note</t>
  </si>
  <si>
    <t>6 Months</t>
  </si>
  <si>
    <t>AA+</t>
  </si>
  <si>
    <t>Refund of</t>
  </si>
  <si>
    <t>Alhamra Islamic Money Market Fund (Formerly: MCB Pakistan Frequent Payout Fund) ("the Fund") was established under a Trust Deed dated July 22, 2015 (modified &amp; restated on July 17, 2020 for changing the name &amp; category of the fund) executed between MCB - Arif Habib Savings and Investments Limited as Management Company and Digital Custodian Company (Formerly: MCB Financial Services Limited) as the Trustee. The Fund was approved as an open end investment scheme by the Securities and Exchange Commission of Pakistan (SECP) on July 16, 2015 in accordance with the Asset Management Companies Rules, 1995 (AMC Rules) repealed by the Non-Banking Finance Companies (Establishment and Regulation) Rules, 2003 (NBFC Rules).</t>
  </si>
  <si>
    <t>As at 
July 01, 2020</t>
  </si>
  <si>
    <t>Associated company</t>
  </si>
  <si>
    <t xml:space="preserve">   fair value through profit or loss' - net</t>
  </si>
  <si>
    <t xml:space="preserve">Lakson Accounts format </t>
  </si>
  <si>
    <t>Sindh Sales Tax payable on management remuneration</t>
  </si>
  <si>
    <t>The Total Expense Ratio (TER) of the Fund for the year ended 31 December  2020 is 0.34% which includes 0.20% representing government levies on the Fund such as provision for Sindh Workers' Welfare Fund, sales taxes, federal excise duties, annual fee to the SECP, etc.</t>
  </si>
  <si>
    <t>Net Asset Value Per Unit</t>
  </si>
  <si>
    <t>Number Of Units In Issue</t>
  </si>
  <si>
    <t>Liabilities</t>
  </si>
  <si>
    <t>Assets</t>
  </si>
  <si>
    <t>Income</t>
  </si>
  <si>
    <t>Expenses</t>
  </si>
  <si>
    <t>Relating to Capital gains-net</t>
  </si>
  <si>
    <t>Condensed Interim Statement of Comprehensive Income (Unaudited)</t>
  </si>
  <si>
    <t>Adjustments for:</t>
  </si>
  <si>
    <t>Net cash flows from operating activities</t>
  </si>
  <si>
    <t>Net cash flows from financing activities</t>
  </si>
  <si>
    <t>Increase / (decrease) in cash and cash equivalents during the period</t>
  </si>
  <si>
    <t>Total proceeds on Issuance of units</t>
  </si>
  <si>
    <t xml:space="preserve">- Capital value </t>
  </si>
  <si>
    <t>Total payments on redemption of units</t>
  </si>
  <si>
    <t>- Unrealized income/ (loss) at the end of period</t>
  </si>
  <si>
    <t>GENERAL</t>
  </si>
  <si>
    <t>Current accounts</t>
  </si>
  <si>
    <t>Allocation of Net Income For the period</t>
  </si>
  <si>
    <t>Condensed Interim Income Statement (Unaudited)</t>
  </si>
  <si>
    <t>Condensed Interim Cash Flow Statement (Unaudited)</t>
  </si>
  <si>
    <t>Condensed Interim Statement Of Movement In Unit Holders' Fund (Unaudited)</t>
  </si>
  <si>
    <t>Hub Power Company Limited - Sukuk</t>
  </si>
  <si>
    <t>As per amendment in the offering document, the Management Company with effect from 8 August 2019 charged management fee at the rate of up to 10% of the gross earnings of the scheme, calculated on daily basis.</t>
  </si>
  <si>
    <t>Sales tax on management remuneration has been charged at the rate of 13% (30 June 2020: 13%).</t>
  </si>
  <si>
    <t>Notes to the Condensed Interim Financial Information (Unaudited)</t>
  </si>
  <si>
    <t>Details of transactions and balances at period end with related parties / connected persons, other than those which have been disclosed elsewhere in these condensed interim financial information, are as follows:</t>
  </si>
  <si>
    <t>The Fund makes distribution on daily basis as per clause 5.1 of the Offering Document from 23 November 2020.</t>
  </si>
  <si>
    <t xml:space="preserve">Condensed Interim Statement Of Assets And Liabilities </t>
  </si>
  <si>
    <t>Undistributed income / (loss)</t>
  </si>
  <si>
    <t>Note 3 copy of JS investments</t>
  </si>
  <si>
    <t>Earnings per unit</t>
  </si>
  <si>
    <t xml:space="preserve">Earnings per unit based on cumulative weighted average units for the period has not been disclosed as in the opinion of the Management Company the determination of the same is not practicable. </t>
  </si>
  <si>
    <t>EARNINGS PER UNIT</t>
  </si>
  <si>
    <t xml:space="preserve">Net income for the period less distribution </t>
  </si>
  <si>
    <t>Undistributed income brought forward</t>
  </si>
  <si>
    <t>-Realized income at the beginning of the period</t>
  </si>
  <si>
    <t>- Unrealized income at the beginning of the period</t>
  </si>
  <si>
    <t>- Realized income at the end of the period</t>
  </si>
  <si>
    <t>These condensed interim financial information have been prepared in accordance with the accounting and reporting standards as applicable in Pakistan for interim financial reporting. The accounting and reporting standards applicable in Pakistan comprise of:</t>
  </si>
  <si>
    <t>These condensed interim financial information was authorised for issue on ________________ by the Board of Directors of the Management Company.</t>
  </si>
  <si>
    <t>Provision against Sindh Workers' Welfare Fund (SWWF)</t>
  </si>
  <si>
    <t>Selling and marketing expenses</t>
  </si>
  <si>
    <t xml:space="preserve">Alhamra Islamic Money Market Fund </t>
  </si>
  <si>
    <t>MCB-Arif Habib Savings and Investments Limited</t>
  </si>
  <si>
    <t>(Management Company)</t>
  </si>
  <si>
    <t>______________________</t>
  </si>
  <si>
    <t>Chief Financial Officer</t>
  </si>
  <si>
    <t>________________</t>
  </si>
  <si>
    <t>Director</t>
  </si>
  <si>
    <t>_____________________</t>
  </si>
  <si>
    <t>Chief Executive Officer</t>
  </si>
  <si>
    <t>-------------------------- (Units) -----------------------------</t>
  </si>
  <si>
    <t>capital</t>
  </si>
  <si>
    <t>from income</t>
  </si>
  <si>
    <t>distribution</t>
  </si>
  <si>
    <t>----------------------- (Rupees in '000) -----------------------</t>
  </si>
  <si>
    <t xml:space="preserve">Advances and deposits </t>
  </si>
  <si>
    <t>(Number of units)</t>
  </si>
  <si>
    <t>Unsecured</t>
  </si>
  <si>
    <t>Provision for Federal Excise Duty relating to:</t>
  </si>
  <si>
    <t>- Sales load</t>
  </si>
  <si>
    <t>Transactions during the period with connected persons / related parties in the units of the Fund:</t>
  </si>
  <si>
    <t xml:space="preserve">MCB Arif Habib savings and </t>
  </si>
  <si>
    <t xml:space="preserve">Adamjee Insurance Company </t>
  </si>
  <si>
    <t xml:space="preserve">Limited Employees Gratuity </t>
  </si>
  <si>
    <t>Fund</t>
  </si>
  <si>
    <t xml:space="preserve">Limited Employees </t>
  </si>
  <si>
    <t xml:space="preserve">Adamjee Life Assurance </t>
  </si>
  <si>
    <t>Remuneration to the Management Company and Trustee are determined in accordance with the provisions of the NBFC Regulations and the Trust Deed of the Fund. Dividend payable / payouts are recorded on the dates declared by the Fund / Management Company. Units issued / redeemed are recorded at the rates applicable on the date of issuance / redemption. All other transactions with connected persons (related parties) are in the normal course of business and are carried out on agreed terms.</t>
  </si>
  <si>
    <t>Being an Islamic Fund, all the activities of the Fund are undertaken in accordance with the Islamic Shariah rules and principles. The Management Company has appointed a Shariah Supervisory Council whose advice is followed to ensure that activities of the Fund are in compliance with Shariah.</t>
  </si>
  <si>
    <t>The Management Company of the Fund has been licensed to act as an Asset Management Company under the Non Banking Finance Companies (Establishment and Regulations) Rules 2003 through a certificate of registration issued by the SECP. The registered office of the Management Company situated at 2nd Floor, Adamjee House, I.I. Chundrigar Road, Karachi, Pakistan.</t>
  </si>
  <si>
    <t>- Element of loss</t>
  </si>
  <si>
    <t>Distribution made during the period (Note 19)</t>
  </si>
  <si>
    <t>Profit receivable on investments and bank balances</t>
  </si>
  <si>
    <t>Investments Limited - 8.2% of the units as at the period end</t>
  </si>
  <si>
    <t>BANK BALANCES  - ASKARI BANK LIMITED- CLOTH MARKET BRANCH</t>
  </si>
  <si>
    <t>INVESTMENT IN COMMERCIAL PAPER  FACE VALUE  HFT</t>
  </si>
  <si>
    <t>COMMERCIAL PAPER  DISCOUNT / AMORTISATION  HFT</t>
  </si>
  <si>
    <t>PREPAYMENT OF PACRA AGAINST ANNUAL PACRA RATING FEE</t>
  </si>
  <si>
    <t>Prepayment Of Legal Charges</t>
  </si>
  <si>
    <t>Sales Tax Payable On Trustee Fee</t>
  </si>
  <si>
    <t>CDS CHARGES PAYABLE TO TRUSTEE</t>
  </si>
  <si>
    <t>Donation / Charity Payable</t>
  </si>
  <si>
    <t>Shariah Advisory Fee Payable-Alhimmf</t>
  </si>
  <si>
    <t>AMORTIZATION / DISCOUNT ON COMMERCIAL PAPERS</t>
  </si>
  <si>
    <t>MARKUP INCOME ON BI MUAJJAL</t>
  </si>
  <si>
    <t>FEE &amp; SUBSCRIPANNUAL PACRA FEE</t>
  </si>
  <si>
    <t>Shariah Advisory Fee Expense</t>
  </si>
  <si>
    <t>- Commercial Paper</t>
  </si>
  <si>
    <t>- Bi Muajjal</t>
  </si>
  <si>
    <t>Shariah advisary fee</t>
  </si>
  <si>
    <t>Nine months ended</t>
  </si>
  <si>
    <t>March 31,</t>
  </si>
  <si>
    <t>As at 31 March  2021</t>
  </si>
  <si>
    <t>Profit Receivable - Faysal Bank Limited Lahore Branch</t>
  </si>
  <si>
    <t>Profit On - Faysal Bank Limited Lahore Branch</t>
  </si>
  <si>
    <t>K Electric ICP 14</t>
  </si>
  <si>
    <t>K Electric ICP 15</t>
  </si>
  <si>
    <t>K Electric ICP 16</t>
  </si>
  <si>
    <t>Maturity</t>
  </si>
  <si>
    <t>Faysal Bank Limited</t>
  </si>
  <si>
    <t>For the Nine Month Ended March 2021</t>
  </si>
  <si>
    <t>Shariah Advisory Fee Payable</t>
  </si>
  <si>
    <t>----------------------- (Rupees in 000) ---------------------------------------</t>
  </si>
  <si>
    <t xml:space="preserve">Hyundai Nishat Motor </t>
  </si>
  <si>
    <t>Private  Limited Employees</t>
  </si>
  <si>
    <t xml:space="preserve"> Provident Fund</t>
  </si>
  <si>
    <t>Provident Fund</t>
  </si>
  <si>
    <t>Company Limited - Tameem</t>
  </si>
  <si>
    <t>Shahriah Fee Payable</t>
  </si>
  <si>
    <t>* This reflects the position of related party / connected persons status as at March 31, 2021.</t>
  </si>
  <si>
    <t>Unitholders holding 10%
 or more*</t>
  </si>
  <si>
    <t>Mandate under discretionary portfolio services*</t>
  </si>
  <si>
    <t>Key management personnel*</t>
  </si>
  <si>
    <t>The NBFC Rules, the Non-Banking Finance Companies and Notified Entities Regulations, 2008 (the NBFC Regulations) and the requirements of Trust Deed.</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</si>
  <si>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</si>
  <si>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The disclosures made in this condensed interim financial information have, however, been limited based on the requirements of the International Accounting Standard 34: 'Interim Financial Reporting'. This condensed interim financial information is unaudited.</t>
  </si>
  <si>
    <t>In compliance with schedule V of the NBFC Regulations the Directors of the Management Company, hereby declare that this condensed interim financial statement give a true and fair view of the state of affairs of the Fund.</t>
  </si>
  <si>
    <t>This condensed interim financial information is presented in Pak Rupees which is the functional and presentation currency of the Fund.</t>
  </si>
  <si>
    <t>SUMMARY OF SIGNIFICANT ACCOUNTING POLICIES, ACCOUNTING ESTIMATES, JUDGMENTS AND RISK MANAGEMENT POLICIES</t>
  </si>
  <si>
    <t>AAA</t>
  </si>
  <si>
    <t>AA</t>
  </si>
  <si>
    <t>Figures have been rounded off to the nearest thousand Rupees unless otherwise stated.</t>
  </si>
  <si>
    <t>Figures have been rounded off to the nearest thousand Rupees unless otherwise stated.Certain prior period's figures have been re-arranged / re-classified, wherever necessary, to facilitate comparison in the presentation in the current period. However, there are material re-arrangements / re-classifications to report.</t>
  </si>
  <si>
    <t>Level 1 : quoted prices in active markets for identical assets or liabilities;</t>
  </si>
  <si>
    <t>Level 2 : those involving inputs other than quoted prices included in Level 1 that are observable for the asset or liability, either directly (as prices) or indirectly (derived from prices); and</t>
  </si>
  <si>
    <t>Level 3 : those with inputs for the asset or liability that are not based on observable market data (unobservable inputs).</t>
  </si>
  <si>
    <t>Bank Balances - Habib Bank Limited - Finlay House Branch</t>
  </si>
  <si>
    <t>APPRECIATION / DIMINUTION - TFC - HFT</t>
  </si>
  <si>
    <t>Other Receivable Against Collection Account- Faysal Bank</t>
  </si>
  <si>
    <t>SETTLEMENT CHARGES PAYABLE TO NCCPL</t>
  </si>
  <si>
    <t>URG / LOSS INVESTMENT IN DEBT SECURITIES</t>
  </si>
  <si>
    <t>Profit On - ASKARI BANK LIMITED- CLOTH MARKET BRANCH</t>
  </si>
  <si>
    <t>BANK CHARGES - MCB BANK LIMITED</t>
  </si>
  <si>
    <t>BANK CHARGES - NATIONAL BANK LIMITED</t>
  </si>
  <si>
    <t>Taxationworkers Welfare Fund (Wwf) - Reversal</t>
  </si>
  <si>
    <t>Receivable from Management Company</t>
  </si>
  <si>
    <t>Total Of Bank Balances</t>
  </si>
  <si>
    <t>Total Of Investment</t>
  </si>
  <si>
    <t>BANK BALANCES</t>
  </si>
  <si>
    <t>INVESTMENTS</t>
  </si>
  <si>
    <t>As at July 01, 2021</t>
  </si>
  <si>
    <t>02 May 2022</t>
  </si>
  <si>
    <t>02 November 2021</t>
  </si>
  <si>
    <t>As at  July 01,  2021</t>
  </si>
  <si>
    <t>Disposed / matured during the period</t>
  </si>
  <si>
    <t>Total as at June 30, 2021 (Audited)</t>
  </si>
  <si>
    <t>Face value of these sukuk certificates is Rs.1,000,000 per certificate.</t>
  </si>
  <si>
    <t>Total as at March 31, 2022 (Un-audited)</t>
  </si>
  <si>
    <t>K Electric ICP 17</t>
  </si>
  <si>
    <t>K Electric ICP 21</t>
  </si>
  <si>
    <t>K Electric ICP 23</t>
  </si>
  <si>
    <t>K Electric ICP 24</t>
  </si>
  <si>
    <t>Face value of these commercial papers are Rs.1,000,000 per certificate.</t>
  </si>
  <si>
    <t xml:space="preserve">Description - Commercial Papers </t>
  </si>
  <si>
    <t>Maturity  Date</t>
  </si>
  <si>
    <t>Term</t>
  </si>
  <si>
    <t>Mark-up rate</t>
  </si>
  <si>
    <t>Total Face Value (maturity value)</t>
  </si>
  <si>
    <t>6 months</t>
  </si>
  <si>
    <t>9.410%</t>
  </si>
  <si>
    <t>9.570%</t>
  </si>
  <si>
    <t>Description</t>
  </si>
  <si>
    <t>Transaction executed during the period</t>
  </si>
  <si>
    <t>Mark-up accrued during the period</t>
  </si>
  <si>
    <t>Matured during the period</t>
  </si>
  <si>
    <t>Carrying  value as a percentage of net assets of Fund</t>
  </si>
  <si>
    <t>Carrying value as a percentage of total investments</t>
  </si>
  <si>
    <r>
      <rPr>
        <sz val="11"/>
        <rFont val="Arial"/>
        <family val="2"/>
      </rPr>
      <t>---------------------------------------- (Rupees in '000) ----------------------------------</t>
    </r>
  </si>
  <si>
    <t>------------- ( % ) ----------------</t>
  </si>
  <si>
    <t>(Un-audited)</t>
  </si>
  <si>
    <t>Rate of return per annum</t>
  </si>
  <si>
    <t>Matured / Sold during the period</t>
  </si>
  <si>
    <t>Askari Bank Limited</t>
  </si>
  <si>
    <t>Meezan Bank Limited</t>
  </si>
  <si>
    <t>'Profit receivable on investments and bank balances</t>
  </si>
  <si>
    <t xml:space="preserve">'Advances and deposits </t>
  </si>
  <si>
    <t>Income On TFC</t>
  </si>
  <si>
    <t>Markup On Investment ( TDR, CP, BI MUAJJAL )</t>
  </si>
  <si>
    <t>INCOME ON TFC AND INCOME ON INVESTMENT</t>
  </si>
  <si>
    <t>EXPENSES</t>
  </si>
  <si>
    <t>Settlement and Bank Chg</t>
  </si>
  <si>
    <t>Charity expense</t>
  </si>
  <si>
    <t>Receivable from management company</t>
  </si>
  <si>
    <t>UNIT</t>
  </si>
  <si>
    <t>The Fund was an open-end collective investment scheme categorized as an "Asset Allocation" scheme by the Board of  Directors of the Management Company pursuant to Circular 7 of 2009 dated March 06, 2009 issued by the SECP. Securities and Exchange Commission of Pakistan (SECP) vide its letter # SCD / AMCW / MCBAHSIL / MCBPFPF /03/2020 dated July 14, 2020, has approved the conversion of MCB Pakistan Frequent Payout Fund renamed as Alhamra Islamic Money Market Fund from Asset Allocation Scheme to Islamic Money Market Scheme. The Fund was converted from forward pricing fund to backward pricing fund and NAV of August 20, 2020 is applicable NAV of August 21, 2020. The Fund offers units for public subscription on a continuous basis. The units of the Fund can be transferred to / from the funds managed by the Management Company and can also be redeemed by surrendering them to the Fund. The Fund is listed on the Pakistan Stock Exchange Limited.</t>
  </si>
  <si>
    <t>The accounting policies adopted and the methods of computation of balances used in the preparation of these condensed interim financial statements are the same as those applied in the preparation of the annual financial statements of the Fund for the year ended June 30, 2021.</t>
  </si>
  <si>
    <t>The preparation of the condensed interim financial statements in conformity with accounting and reporting standards as applicable in Pakistan requires management to make estimates, assumptions and use judgments that affect the application of policies and reported amounts of assets, liabilities, income and expenses. Estimates, assumptions and judgments are continually evaluated and are based on historical experience and other factors, including reasonable expectations of future events. Revisions to accounting estimates are recognised prospectively commencing from the period of revision. In preparing the condensed interim financial statements, the significant judgments made by management in applying the Fund’s accounting policies and the key sources of estimation and uncertainty were the same as those applied to the financial statements as at and for the year ended June 30, 2021.</t>
  </si>
  <si>
    <t>Total as at 30 June 2021 (Audited)</t>
  </si>
  <si>
    <t>As at March 31, 2022</t>
  </si>
  <si>
    <t>Carrying Value as at March 31, 2022</t>
  </si>
  <si>
    <t>The Fund's income is exempt from Income Tax as per Clause 99 of Part I of the Second Schedule of the Income Tax Ordinance, 2001 subject to the condition that not less than 90% of the accounting income for the year as reduced by capital gains whether realized or unrealized is distributed amongst the unit holders, provided that for the purpose of determining distribution of not less than 90% of its accounting income for the year, the income distributed through bonus units shall not be taken into account. Furthermore, as per Regulation 63 of the Non-Banking Finance Companies and Notified Entities Regulations, 2008, the Fund is required to distribute 90% of the net accounting income other than capital gains to the unit holders. For the Nine months period ended 31 March 2022, the fund has already distributed the entire income earned during the period, including through redemption during the period.</t>
  </si>
  <si>
    <t xml:space="preserve">Investments </t>
  </si>
  <si>
    <t>Payable to Management Company</t>
  </si>
  <si>
    <t xml:space="preserve">Payable to Digital Custodian Company - Trustee </t>
  </si>
  <si>
    <t>Dividend Payable</t>
  </si>
  <si>
    <t>UNIT HOLDERS' FUND (AS PER STATEMENT ATTACHED)</t>
  </si>
  <si>
    <t>Markup on investments</t>
  </si>
  <si>
    <t xml:space="preserve">Loss on sale of investments classified as 'at </t>
  </si>
  <si>
    <t>Remuneration of the management company</t>
  </si>
  <si>
    <t>Other comprehensive income for the year</t>
  </si>
  <si>
    <t xml:space="preserve">Sindh Revenue Board (SRB) through its letter dated August 12, 2021 received on August 13, 2021 has intimated Mutual Funds Association of Pakistan's (MUFAP) that the mutual funds do not qualify as Financial Institutions / Industrial Establishments and are therefore, not liable to pay the Sindh Workers’ Welfare Fund (SWWF) contribute ions. This development was discussed at MUFAP level and was also been taken up with the Securities and Exchange Commission of Pakistan (SECP). All the Asset Management Companies, in consultation with SECP, have reversed the cumulative provision for SWWF recognised in the financial statements of the Funds till August 12, 2021 on August 13, 2021. </t>
  </si>
  <si>
    <t>SECP has also given its concurrence for recording reversal of provision of SWWF on the day letter was received by MUFAP. This reversal of provision has contributed towards an unusual increase in NAV of the Fund on August 13, 2021. This is one-off event and is not likely to be repeated in the future.</t>
  </si>
  <si>
    <t>Going forward, no provision for SWWF would be recognised in the financial statements of the Fund.</t>
  </si>
  <si>
    <t>For the Nine Month Ended March 2022</t>
  </si>
  <si>
    <t>As at 31 March  2022</t>
  </si>
  <si>
    <t>As at 
July 01, 2021</t>
  </si>
  <si>
    <t>* This reflects the position of related party / connected persons status as at March 31, 2022.</t>
  </si>
  <si>
    <t>Markup on bank deposit</t>
  </si>
  <si>
    <t>June 30</t>
  </si>
  <si>
    <t>March 31, 2022</t>
  </si>
  <si>
    <t>March 31, 2021</t>
  </si>
  <si>
    <t>For The Nine Months And Quarter Ended March 31, 2022</t>
  </si>
  <si>
    <t>As At March 31, 2022</t>
  </si>
  <si>
    <t>Advances and deposits</t>
  </si>
  <si>
    <t>(Reversal) / provision against Sindh Workers' Welfare Fund</t>
  </si>
  <si>
    <t>LT00352403220480</t>
  </si>
  <si>
    <t>Payable to Digital Custodian Company - Trustee</t>
  </si>
  <si>
    <t>Mark-up receivable on investments and bank balances</t>
  </si>
  <si>
    <t>Remuneration of Digital Custodian Company - Trustee</t>
  </si>
  <si>
    <t>Markup on investment and bank balances</t>
  </si>
  <si>
    <t>Loss on sale of investments classified as 'at</t>
  </si>
  <si>
    <t>fair value through profit or loss' - net</t>
  </si>
  <si>
    <t>(Reversal) / provision for Sindh Workers' Welfare Fund</t>
  </si>
  <si>
    <t>Markup received</t>
  </si>
  <si>
    <t>Decrease / (increase) in assets</t>
  </si>
  <si>
    <t>Increase / (Decrease) in liabilities</t>
  </si>
  <si>
    <r>
      <t>Alhamra Islamic Money Market Fund (''the Fund") was established under the Non-Banking Finance Companies (Establishment and Regulations) Rules, 2003 (the NBFC Rules) as an open-end unit trust scheme. The Fund is governed under Non-Banking Finance Companies (Establishment and Regulation) Rules, 2003 and Non-Banking Finance Companies and Notified Entities Regulations, 2008. MCB Arif Habib Savings and Investments Limited is the Management Company (Wakeel) of the Fund, and Digital Custodian Company</t>
    </r>
    <r>
      <rPr>
        <sz val="10"/>
        <rFont val="Univers 45 Light"/>
      </rPr>
      <t xml:space="preserve"> is the Trustee. The Trust Deed was executed on July 22, 2015 (modified and restated on July 17, 2020 for changing the name and category of the fund) and was approved by the Securities and Exchange Commission of Pakistan (SECP) on July 16, 2015. The Trust Act, 1882 has been repealed due to the promulgation of Provincial Trust Act namely “Sindh Trusts Act, 2020” (the Sindh Trust Act) as empowered under the Eighteenth Amendment to the Constitution of Pakistan. The Fund is required to be registered under the Sindh Trust Act. Accordingly,  on August 13, 2021 the above-mentioned Trust Deed has been registered under the Sindh Trust Act.</t>
    </r>
  </si>
  <si>
    <r>
      <t xml:space="preserve">The title to the assets of the Fund is held in the name of Digital Custodian Company </t>
    </r>
    <r>
      <rPr>
        <sz val="10"/>
        <rFont val="Univers 45 Light"/>
      </rPr>
      <t xml:space="preserve"> as the Trustee of the Fund.</t>
    </r>
  </si>
  <si>
    <t>The Pakistan Credit Rating Agency Limited (PACRA) has maintained an asset manager rating of 'AM1' dated October 06, 2021 to the Management Company and stability rating of "AA+(f)' dated March 03, 2022 to the Fund.</t>
  </si>
  <si>
    <t>Profit and loss sharing accounts</t>
  </si>
  <si>
    <t>There were no contingencies and commitments as at 31 March 2022 (30 June 2021: Nil).</t>
  </si>
  <si>
    <t xml:space="preserve">March 31 </t>
  </si>
  <si>
    <t xml:space="preserve">June 30 </t>
  </si>
  <si>
    <t>Digital Custodian Company - Trustee</t>
  </si>
  <si>
    <t xml:space="preserve">Remuneration of Digital Custodian Company - Trustee </t>
  </si>
  <si>
    <t>The annexed notes 1 to 17 form an integral part of these condensed interim financial information.</t>
  </si>
  <si>
    <t>- Term Deposit Certificates</t>
  </si>
  <si>
    <t>Bank Balances - Faysal Bank Limited Islamic -Current A/C</t>
  </si>
  <si>
    <t>Profit Receivable - Faysal Bank Limited Islamic -Current A/C</t>
  </si>
  <si>
    <t>OTHER PAYABLE</t>
  </si>
  <si>
    <t>Profit On - Faysal Bank Limited Islamic -Current A/C</t>
  </si>
  <si>
    <t>Issue of 136,546,329 units (2021: 254,736,690 units)</t>
  </si>
  <si>
    <t>Redemption of 193,746,337 units (2021: 124,220,867 units)</t>
  </si>
  <si>
    <t xml:space="preserve">These carry profit rates ranging from 5.5% to 10.90% (30 June 2021: 5.5% to 6.93%) per annum. These balances include Rs. 8.763 million (30 June 2021: Rs. 1.904 million) maintained with MCB Bank Limited (a related party). </t>
  </si>
  <si>
    <t>6.1.1</t>
  </si>
  <si>
    <t>Sukuk Certificates - Unlisted</t>
  </si>
  <si>
    <t>On maturity</t>
  </si>
  <si>
    <t>6 months KIBOR (8.7%) + (0.8%) {9.51%}</t>
  </si>
  <si>
    <t>The terms and conditions of the sukuk certificates outstanding as at 31 March 2022 are as follows:</t>
  </si>
  <si>
    <t>Total as at 31 March 2022 (Un-Audited)</t>
  </si>
  <si>
    <t>Commercial Paper</t>
  </si>
  <si>
    <t>Bai Muajjal</t>
  </si>
  <si>
    <t>The terms and conditions of commercial papers outstanding as at March 31, 2022 are as follows:</t>
  </si>
  <si>
    <t>Total as at March 31, 2022</t>
  </si>
  <si>
    <t>Term Deposit Certificates</t>
  </si>
  <si>
    <t>Name of the investee company</t>
  </si>
  <si>
    <t>Donation Payable</t>
  </si>
  <si>
    <t>There is no change in the status of the appeal filed by the Federal Board of Revenue in the Honorable Supreme Court of Pakistan in respect of levy of Federal Excise Duty (FED), as reported in note 11.2 to the annual financial statements of the Fund for the year ended June 30, 2021.Had the provision for FED not been recorded in the condensed interim financial statements of the Fund, the net assets value of the Fund as at March 31, 2022 would have been higher by Re.0.05 (June 30,  2021: Re.0.01) per unit.</t>
  </si>
  <si>
    <t>Shahriah Fee</t>
  </si>
  <si>
    <t xml:space="preserve">Digital Custodian Company - Trustee </t>
  </si>
  <si>
    <t>Amount outstanding as at period end</t>
  </si>
  <si>
    <t xml:space="preserve">Company Limited - </t>
  </si>
  <si>
    <t>----------------------- (Units in 000) ---------------------------------------</t>
  </si>
  <si>
    <t>The Total Expense Ratio (TER) of the Fund for the quarter ended 31 March 2022 is 0.28% (31 March 2021 0.29 )YTD in which includes 0.04% (31 March 2021 0.16%) representing government levies on the Fund such as federal excise duties and sales taxes, Workers' Welfare Fund, annual fee payable to the SECP, etc.</t>
  </si>
  <si>
    <t>Daily distribution from 01 July 2021 till 31 March 2022*</t>
  </si>
  <si>
    <t>This condensed interim financial information does not include all the information and disclosures required for full annual financial statements and should be read in conjunction with the financial statements for the year ended 30 June 2021. The comparative in the statement of assets and liabilities presented in the condensed interim financial information as at 31 March 2022 have been extracted from the audited financial statements of the Fund for the year ended 30 June 2021, where 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nine months ended 31 March 2022.</t>
  </si>
  <si>
    <t xml:space="preserve"> The Fund’s financial risk management objectives and policies are consistent with those disclosed in the annual financial statements of the Funds for the year ended June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</si>
</sst>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6">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409]d\-mmm\-yy;@"/>
    <numFmt numFmtId="168" formatCode="_-* #,##0_-;\-* #,##0_-;_-* &quot;-&quot;??_-;_-@_-"/>
    <numFmt numFmtId="169" formatCode="0.0000000"/>
    <numFmt numFmtId="170" formatCode="_([$€-2]* #,##0.00_);_([$€-2]* \(#,##0.00\);_([$€-2]* &quot;-&quot;??_)"/>
    <numFmt numFmtId="171" formatCode="0.0"/>
    <numFmt numFmtId="172" formatCode="_ * #,##0.00_ ;_ * \-#,##0.00_ ;_ * &quot;-&quot;??_ ;_ @_ "/>
    <numFmt numFmtId="173" formatCode="_ * #,##0_ ;_ * \-#,##0_ ;_ * &quot;-&quot;??_ ;_ @_ "/>
    <numFmt numFmtId="174" formatCode="[$-409]mmmm\ d\,\ yyyy;@"/>
    <numFmt numFmtId="175" formatCode="[$-409]d\-mmm\-yyyy;@"/>
    <numFmt numFmtId="176" formatCode="_(* #,##0.0_);_(* \(#,##0.0\);_(* &quot;-&quot;??_);_(@_)"/>
    <numFmt numFmtId="177" formatCode="_(* #,##0.00000000_);_(* \(#,##0.00000000\);_(* &quot;-&quot;??_);_(@_)"/>
    <numFmt numFmtId="178" formatCode="_(* #,##0.0000_);_(* \(#,##0.0000\);_(* &quot;-&quot;??_);_(@_)"/>
    <numFmt numFmtId="179" formatCode="#,##0.0"/>
    <numFmt numFmtId="180" formatCode="[$-409]dddd\,\ mmmm\ dd\,\ yyyy"/>
    <numFmt numFmtId="181" formatCode="_-&quot;$&quot;* #,##0_-;\-&quot;$&quot;* #,##0_-;_-&quot;$&quot;* &quot;-&quot;_-;_-@_-"/>
    <numFmt numFmtId="182" formatCode="_(* #,##0.000_);_(* \(#,##0.000\);_(* &quot;-&quot;??_);_(@_)"/>
    <numFmt numFmtId="183" formatCode="\£\ #,##0_);[Red]\(\£\ #,##0\)"/>
    <numFmt numFmtId="184" formatCode="\¥\ #,##0_);[Red]\(\¥\ #,##0\)"/>
    <numFmt numFmtId="185" formatCode="\•\ \ @"/>
    <numFmt numFmtId="186" formatCode="_ * #,##0.00_)&quot;F&quot;_ ;_ * \(#,##0.00\)&quot;F&quot;_ ;_ * &quot;-&quot;??_)&quot;F&quot;_ ;_ @_ "/>
    <numFmt numFmtId="187" formatCode="0.0%"/>
    <numFmt numFmtId="188" formatCode="&quot;$&quot;#,;\(&quot;$&quot;#,\)"/>
    <numFmt numFmtId="189" formatCode="_(* #,##0.00_);_(* \(#,##0.00\);_(* \-??_);_(@_)"/>
    <numFmt numFmtId="190" formatCode="&quot;$&quot;\ #,##0.00;&quot;$&quot;\ \-#,##0.00"/>
    <numFmt numFmtId="191" formatCode="General_)"/>
    <numFmt numFmtId="192" formatCode="\ \ _•\–\ \ \ \ @"/>
    <numFmt numFmtId="193" formatCode="&quot; $&quot;* #,##0.00_ ;"/>
    <numFmt numFmtId="194" formatCode="&quot;$&quot;##,##0_);[Red]\(&quot;$&quot;#,##0\)"/>
    <numFmt numFmtId="195" formatCode="\I\n\t\i\a\l\ \c\a\p"/>
    <numFmt numFmtId="196" formatCode="_-* #,##0\ _P_t_s_-;\-* #,##0\ _P_t_s_-;_-* &quot;-&quot;\ _P_t_s_-;_-@_-"/>
    <numFmt numFmtId="197" formatCode="_-* #,##0.00\ _P_t_s_-;\-* #,##0.00\ _P_t_s_-;_-* &quot;-&quot;??\ _P_t_s_-;_-@_-"/>
    <numFmt numFmtId="198" formatCode="#,##0.000_);\(#,##0.000\)"/>
    <numFmt numFmtId="199" formatCode="&quot;$&quot;#,\);\(&quot;$&quot;#,\)"/>
    <numFmt numFmtId="200" formatCode="_-* #,##0\ &quot;F&quot;_-;\-* #,##0\ &quot;F&quot;_-;_-* &quot;-&quot;\ &quot;F&quot;_-;_-@_-"/>
    <numFmt numFmtId="201" formatCode="_-* #,##0.00\ &quot;F&quot;_-;\-* #,##0.00\ &quot;F&quot;_-;_-* &quot;-&quot;??\ &quot;F&quot;_-;_-@_-"/>
    <numFmt numFmtId="202" formatCode="[&gt;1]\ &quot;Pk of &quot;\ #;[=1]\ &quot;Each&quot;;\ 0.000\ &quot; km&quot;"/>
    <numFmt numFmtId="203" formatCode="#,##0_);\(#,##0\);_(* &quot;-&quot;??_);_(@_)"/>
    <numFmt numFmtId="204" formatCode="#,##0.00;\-#,##0.00;&quot;-&quot;"/>
    <numFmt numFmtId="205" formatCode="#,##0%;\-#,##0%;&quot;- &quot;"/>
    <numFmt numFmtId="206" formatCode="#,##0.0%;\-#,##0.0%;&quot;- &quot;"/>
    <numFmt numFmtId="207" formatCode="#,##0.00%;\-#,##0.00%;&quot;- &quot;"/>
    <numFmt numFmtId="208" formatCode="#,##0;\-#,##0;&quot;-&quot;"/>
    <numFmt numFmtId="209" formatCode="#,##0.0;\-#,##0.0;&quot;-&quot;"/>
    <numFmt numFmtId="210" formatCode="[Red]0%\ "/>
    <numFmt numFmtId="211" formatCode="_([$€]* #,##0.00_);_([$€]* \(#,##0.00\);_([$€]* &quot;-&quot;??_);_(@_)"/>
    <numFmt numFmtId="212" formatCode="\$#,##0_);[Red]\(\$#,##0\)"/>
    <numFmt numFmtId="213" formatCode="0%;\(0%\)"/>
    <numFmt numFmtId="214" formatCode="\ \ @"/>
    <numFmt numFmtId="215" formatCode="\ \ \ \ @"/>
    <numFmt numFmtId="216" formatCode="#,##0.0_);\(#,##0.0\)"/>
    <numFmt numFmtId="217" formatCode="0.000_)"/>
    <numFmt numFmtId="218" formatCode="mm/dd/yy"/>
    <numFmt numFmtId="219" formatCode="_(* #,##0.0_);_(* \(#,##0.0\);_(* &quot;-&quot;?_);@_)"/>
    <numFmt numFmtId="220" formatCode="#,##0.00;[Red]\(#,##0.00\)"/>
    <numFmt numFmtId="221" formatCode="_-&quot;$&quot;* #,##0.00_-;\-&quot;$&quot;* #,##0.00_-;_-&quot;$&quot;* &quot;-&quot;??_-;_-@_-"/>
    <numFmt numFmtId="222" formatCode="_ * #,##0_ ;_ * \-#,##0_ ;_ * &quot;-&quot;_ ;_ @_ "/>
    <numFmt numFmtId="223" formatCode="_(* #,##0_);_(* \(#,##0\);_(* &quot;-&quot;?_);@_)"/>
    <numFmt numFmtId="224" formatCode="0.000%"/>
    <numFmt numFmtId="225" formatCode="#,##0.000"/>
    <numFmt numFmtId="226" formatCode="#."/>
    <numFmt numFmtId="227" formatCode="#,##0_);\(#,##0\);_(* &quot;-&quot;?_);_(@_)"/>
    <numFmt numFmtId="228" formatCode="_(* #,##0.00000_);_(* \(#,##0.00000\);_(* &quot;-&quot;??_);_(@_)"/>
    <numFmt numFmtId="229" formatCode="_(* #,##0.0000000_);_(* \(#,##0.0000000\);_(* &quot;-&quot;??_);_(@_)"/>
    <numFmt numFmtId="230" formatCode="0."/>
    <numFmt numFmtId="231" formatCode="0.0000000000"/>
    <numFmt numFmtId="232" formatCode="0.0000"/>
    <numFmt numFmtId="233" formatCode="_-* #,##0.00\ _€_-;\-* #,##0.00\ _€_-;_-* &quot;-&quot;??\ _€_-;_-@_-"/>
  </numFmts>
  <fonts count="142">
    <font>
      <sz val="11"/>
      <color theme="1"/>
      <name val="Calibri"/>
      <family val="2"/>
      <scheme val="minor"/>
    </font>
    <font>
      <b/>
      <sz val="11"/>
      <color theme="1"/>
      <name val="Calibri"/>
      <family val="2"/>
      <scheme val="minor"/>
    </font>
    <font>
      <sz val="10"/>
      <name val="Arial"/>
      <family val="2"/>
    </font>
    <font>
      <b/>
      <sz val="10"/>
      <name val="Arial"/>
      <family val="2"/>
    </font>
    <font>
      <sz val="12"/>
      <name val="Times New Roman"/>
      <family val="1"/>
    </font>
    <font>
      <sz val="11"/>
      <name val="Times New Roman"/>
      <family val="1"/>
    </font>
    <font>
      <sz val="10"/>
      <name val="Times New Roman"/>
      <family val="1"/>
    </font>
    <font>
      <sz val="10"/>
      <color indexed="8"/>
      <name val="Arial"/>
      <family val="2"/>
    </font>
    <font>
      <sz val="10"/>
      <name val="CG Omega"/>
      <family val="2"/>
    </font>
    <font>
      <sz val="10"/>
      <color indexed="8"/>
      <name val="匠牥晩††††††††††"/>
    </font>
    <font>
      <sz val="11"/>
      <color theme="1"/>
      <name val="Calibri"/>
      <family val="2"/>
      <scheme val="minor"/>
    </font>
    <font>
      <sz val="11"/>
      <color theme="1"/>
      <name val="Arial"/>
      <family val="2"/>
    </font>
    <font>
      <sz val="9"/>
      <name val="Arial"/>
      <family val="2"/>
    </font>
    <font>
      <sz val="12"/>
      <name val="DTMLetterRegular"/>
    </font>
    <font>
      <b/>
      <sz val="12"/>
      <name val="Times New Roman"/>
      <family val="1"/>
    </font>
    <font>
      <sz val="8"/>
      <name val="Arial"/>
      <family val="2"/>
    </font>
    <font>
      <sz val="12"/>
      <name val="Helv"/>
    </font>
    <font>
      <i/>
      <sz val="10"/>
      <name val="CG Omega"/>
      <family val="2"/>
    </font>
    <font>
      <b/>
      <sz val="9"/>
      <color indexed="8"/>
      <name val="Times New Roman"/>
      <family val="1"/>
    </font>
    <font>
      <sz val="10"/>
      <color indexed="0"/>
      <name val="MS Sans Serif"/>
      <family val="2"/>
    </font>
    <font>
      <b/>
      <sz val="11"/>
      <name val="Times New Roman"/>
      <family val="1"/>
    </font>
    <font>
      <sz val="12"/>
      <name val="Arial"/>
      <family val="2"/>
    </font>
    <font>
      <b/>
      <sz val="12"/>
      <name val="Arial"/>
      <family val="2"/>
    </font>
    <font>
      <sz val="9"/>
      <name val="Times New Roman"/>
      <family val="1"/>
    </font>
    <font>
      <sz val="10"/>
      <color indexed="8"/>
      <name val="MS Sans Serif"/>
      <family val="2"/>
    </font>
    <font>
      <sz val="11"/>
      <color indexed="8"/>
      <name val="Times New Roman"/>
      <family val="1"/>
    </font>
    <font>
      <sz val="12"/>
      <color indexed="9"/>
      <name val="Arial"/>
      <family val="2"/>
    </font>
    <font>
      <b/>
      <sz val="12"/>
      <color indexed="8"/>
      <name val="Times New Roman"/>
      <family val="1"/>
    </font>
    <font>
      <b/>
      <sz val="12"/>
      <name val="Albertus Medium"/>
      <family val="2"/>
    </font>
    <font>
      <b/>
      <sz val="10"/>
      <name val="Times New Roman"/>
      <family val="1"/>
    </font>
    <font>
      <b/>
      <sz val="14"/>
      <name val="Tms Rmn"/>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12"/>
      <name val="Arial"/>
      <family val="2"/>
    </font>
    <font>
      <i/>
      <sz val="11"/>
      <color indexed="23"/>
      <name val="Calibri"/>
      <family val="2"/>
    </font>
    <font>
      <sz val="11"/>
      <color indexed="17"/>
      <name val="Calibri"/>
      <family val="2"/>
    </font>
    <font>
      <sz val="8"/>
      <name val="Arial"/>
      <family val="2"/>
      <charset val="222"/>
    </font>
    <font>
      <b/>
      <sz val="15"/>
      <color indexed="56"/>
      <name val="Calibri"/>
      <family val="2"/>
    </font>
    <font>
      <b/>
      <sz val="13"/>
      <color indexed="56"/>
      <name val="Calibri"/>
      <family val="2"/>
    </font>
    <font>
      <b/>
      <sz val="11"/>
      <color indexed="56"/>
      <name val="Calibri"/>
      <family val="2"/>
    </font>
    <font>
      <sz val="11"/>
      <color indexed="62"/>
      <name val="Calibri"/>
      <family val="2"/>
    </font>
    <font>
      <b/>
      <sz val="12"/>
      <name val="Helv"/>
    </font>
    <font>
      <u/>
      <sz val="7.5"/>
      <color indexed="12"/>
      <name val="Arial"/>
      <family val="2"/>
    </font>
    <font>
      <u/>
      <sz val="7.5"/>
      <color indexed="36"/>
      <name val="Arial"/>
      <family val="2"/>
    </font>
    <font>
      <u/>
      <sz val="8"/>
      <color indexed="12"/>
      <name val="Times New Roman"/>
      <family val="1"/>
    </font>
    <font>
      <sz val="10"/>
      <color indexed="14"/>
      <name val="Arial"/>
      <family val="2"/>
    </font>
    <font>
      <sz val="11"/>
      <color indexed="52"/>
      <name val="Calibri"/>
      <family val="2"/>
    </font>
    <font>
      <sz val="10"/>
      <name val="MS Sans Serif"/>
      <family val="2"/>
    </font>
    <font>
      <sz val="11"/>
      <color indexed="60"/>
      <name val="Calibri"/>
      <family val="2"/>
    </font>
    <font>
      <b/>
      <sz val="16"/>
      <name val="Abadi MT Condensed"/>
      <family val="2"/>
    </font>
    <font>
      <sz val="10"/>
      <name val="Geneva"/>
      <charset val="222"/>
    </font>
    <font>
      <b/>
      <sz val="11"/>
      <color indexed="63"/>
      <name val="Calibri"/>
      <family val="2"/>
    </font>
    <font>
      <sz val="10"/>
      <color indexed="10"/>
      <name val="Arial"/>
      <family val="2"/>
    </font>
    <font>
      <b/>
      <sz val="18"/>
      <color indexed="56"/>
      <name val="Cambria"/>
      <family val="2"/>
    </font>
    <font>
      <sz val="12"/>
      <color indexed="13"/>
      <name val="Helv"/>
    </font>
    <font>
      <b/>
      <sz val="11"/>
      <color indexed="8"/>
      <name val="Calibri"/>
      <family val="2"/>
    </font>
    <font>
      <sz val="11"/>
      <color indexed="10"/>
      <name val="Calibri"/>
      <family val="2"/>
    </font>
    <font>
      <u/>
      <sz val="10"/>
      <color indexed="12"/>
      <name val="Arial"/>
      <family val="2"/>
    </font>
    <font>
      <sz val="11"/>
      <name val="Tms Rmn"/>
    </font>
    <font>
      <b/>
      <sz val="14"/>
      <name val="Helv"/>
    </font>
    <font>
      <sz val="24"/>
      <color indexed="13"/>
      <name val="Helv"/>
    </font>
    <font>
      <b/>
      <sz val="15"/>
      <color indexed="62"/>
      <name val="Calibri"/>
      <family val="2"/>
    </font>
    <font>
      <b/>
      <sz val="13"/>
      <color indexed="62"/>
      <name val="Calibri"/>
      <family val="2"/>
    </font>
    <font>
      <b/>
      <sz val="11"/>
      <color indexed="62"/>
      <name val="Calibri"/>
      <family val="2"/>
    </font>
    <font>
      <b/>
      <sz val="18"/>
      <color indexed="62"/>
      <name val="Cambria"/>
      <family val="2"/>
    </font>
    <font>
      <b/>
      <sz val="9"/>
      <color indexed="12"/>
      <name val="Arial"/>
      <family val="2"/>
    </font>
    <font>
      <sz val="10"/>
      <name val="Helv"/>
      <charset val="204"/>
    </font>
    <font>
      <sz val="10"/>
      <name val="ＭＳ Ｐゴシック"/>
      <family val="3"/>
      <charset val="128"/>
    </font>
    <font>
      <sz val="12"/>
      <name val="Tms Rmn"/>
      <charset val="178"/>
    </font>
    <font>
      <b/>
      <sz val="8"/>
      <color indexed="24"/>
      <name val="Arial"/>
      <family val="2"/>
    </font>
    <font>
      <b/>
      <sz val="9"/>
      <color indexed="24"/>
      <name val="Arial"/>
      <family val="2"/>
    </font>
    <font>
      <b/>
      <sz val="11"/>
      <color indexed="24"/>
      <name val="Arial"/>
      <family val="2"/>
    </font>
    <font>
      <sz val="10"/>
      <name val="MS Serif"/>
      <family val="1"/>
    </font>
    <font>
      <i/>
      <sz val="9"/>
      <color indexed="8"/>
      <name val="Arial"/>
      <family val="2"/>
    </font>
    <font>
      <sz val="10"/>
      <color indexed="16"/>
      <name val="MS Serif"/>
      <family val="1"/>
    </font>
    <font>
      <b/>
      <sz val="9"/>
      <color indexed="20"/>
      <name val="Arial"/>
      <family val="2"/>
    </font>
    <font>
      <sz val="8"/>
      <color indexed="18"/>
      <name val="Arial"/>
      <family val="2"/>
    </font>
    <font>
      <b/>
      <i/>
      <sz val="10"/>
      <color indexed="8"/>
      <name val="Arial"/>
      <family val="2"/>
    </font>
    <font>
      <b/>
      <i/>
      <sz val="11"/>
      <color indexed="8"/>
      <name val="Times New Roman"/>
      <family val="1"/>
    </font>
    <font>
      <b/>
      <sz val="10"/>
      <color indexed="9"/>
      <name val="Arial"/>
      <family val="2"/>
    </font>
    <font>
      <b/>
      <sz val="11"/>
      <color indexed="16"/>
      <name val="Times New Roman"/>
      <family val="1"/>
    </font>
    <font>
      <b/>
      <sz val="10"/>
      <color indexed="17"/>
      <name val="Arial"/>
      <family val="2"/>
    </font>
    <font>
      <b/>
      <sz val="16"/>
      <color indexed="13"/>
      <name val="Arial"/>
      <family val="2"/>
    </font>
    <font>
      <b/>
      <sz val="22"/>
      <color indexed="8"/>
      <name val="Times New Roman"/>
      <family val="1"/>
    </font>
    <font>
      <sz val="8"/>
      <name val="Helv"/>
      <charset val="178"/>
    </font>
    <font>
      <b/>
      <sz val="12"/>
      <color indexed="8"/>
      <name val="Barclays Serif"/>
      <family val="2"/>
    </font>
    <font>
      <b/>
      <sz val="8"/>
      <color indexed="8"/>
      <name val="Helv"/>
      <charset val="178"/>
    </font>
    <font>
      <u/>
      <sz val="10"/>
      <color indexed="36"/>
      <name val="Arial"/>
      <family val="2"/>
    </font>
    <font>
      <b/>
      <sz val="11"/>
      <name val="Book Antiqua"/>
      <family val="1"/>
    </font>
    <font>
      <sz val="12"/>
      <name val="Tms Rmn"/>
    </font>
    <font>
      <b/>
      <sz val="18"/>
      <color indexed="8"/>
      <name val="Times New Roman"/>
      <family val="1"/>
    </font>
    <font>
      <b/>
      <u/>
      <sz val="8.0500000000000007"/>
      <color indexed="8"/>
      <name val="Times New Roman"/>
      <family val="1"/>
    </font>
    <font>
      <sz val="1"/>
      <color indexed="16"/>
      <name val="Courier"/>
      <family val="3"/>
    </font>
    <font>
      <sz val="8"/>
      <name val="Helv"/>
    </font>
    <font>
      <b/>
      <sz val="8"/>
      <color indexed="8"/>
      <name val="Helv"/>
    </font>
    <font>
      <sz val="9"/>
      <color theme="1"/>
      <name val="Arial"/>
      <family val="2"/>
    </font>
    <font>
      <b/>
      <u/>
      <sz val="11"/>
      <color theme="1"/>
      <name val="Calibri"/>
      <family val="2"/>
      <scheme val="minor"/>
    </font>
    <font>
      <sz val="8"/>
      <color rgb="FF000000"/>
      <name val="Arial Bold"/>
    </font>
    <font>
      <u/>
      <sz val="8"/>
      <color rgb="FF000000"/>
      <name val="Arial Bold"/>
    </font>
    <font>
      <sz val="8"/>
      <color rgb="FF000000"/>
      <name val="Arial"/>
      <family val="2"/>
    </font>
    <font>
      <b/>
      <sz val="8"/>
      <color rgb="FF000000"/>
      <name val="Arial"/>
      <family val="2"/>
    </font>
    <font>
      <b/>
      <u/>
      <sz val="8"/>
      <color rgb="FF000000"/>
      <name val="Arial"/>
      <family val="2"/>
    </font>
    <font>
      <sz val="9"/>
      <name val="Segoe UI"/>
      <family val="2"/>
    </font>
    <font>
      <b/>
      <sz val="10"/>
      <name val="Univers 45 Light"/>
    </font>
    <font>
      <sz val="10"/>
      <name val="Univers 45 Light"/>
    </font>
    <font>
      <sz val="10"/>
      <color rgb="FFFF0000"/>
      <name val="Univers 45 Light"/>
    </font>
    <font>
      <sz val="10"/>
      <color indexed="8"/>
      <name val="Univers 45 Light"/>
    </font>
    <font>
      <sz val="10"/>
      <color theme="1"/>
      <name val="Univers 45 Light"/>
    </font>
    <font>
      <b/>
      <sz val="10"/>
      <color theme="1"/>
      <name val="Univers 45 Light"/>
    </font>
    <font>
      <b/>
      <sz val="10"/>
      <color rgb="FFFFFF00"/>
      <name val="Univers 45 Light"/>
    </font>
    <font>
      <b/>
      <sz val="10"/>
      <color rgb="FFFF0000"/>
      <name val="Univers 45 Light"/>
    </font>
    <font>
      <i/>
      <sz val="10"/>
      <name val="Univers 45 Light"/>
    </font>
    <font>
      <b/>
      <i/>
      <sz val="10"/>
      <name val="Univers 45 Light"/>
    </font>
    <font>
      <sz val="10"/>
      <color theme="0"/>
      <name val="Univers 45 Light"/>
    </font>
    <font>
      <b/>
      <u/>
      <sz val="10"/>
      <name val="Univers 45 Light"/>
    </font>
    <font>
      <u/>
      <sz val="10"/>
      <name val="Univers 45 Light"/>
    </font>
    <font>
      <b/>
      <sz val="12"/>
      <name val="Univers 45 Light"/>
    </font>
    <font>
      <sz val="12"/>
      <name val="Univers 45 Light"/>
    </font>
    <font>
      <sz val="12"/>
      <name val="SWISS"/>
    </font>
    <font>
      <sz val="16"/>
      <name val="Univers 45 Light"/>
    </font>
    <font>
      <sz val="14"/>
      <name val="Univers 45 Light"/>
    </font>
    <font>
      <b/>
      <sz val="10"/>
      <color rgb="FF000000"/>
      <name val="Arial"/>
      <family val="2"/>
    </font>
    <font>
      <sz val="9"/>
      <name val="Univers 45 Light"/>
    </font>
    <font>
      <b/>
      <sz val="9"/>
      <name val="Univers 45 Light"/>
    </font>
    <font>
      <b/>
      <sz val="9"/>
      <color theme="1"/>
      <name val="Univers 45 Light"/>
    </font>
    <font>
      <b/>
      <sz val="9"/>
      <color indexed="8"/>
      <name val="Univers 45 Light"/>
    </font>
    <font>
      <b/>
      <sz val="10"/>
      <color theme="0"/>
      <name val="Univers 45 Light"/>
    </font>
    <font>
      <b/>
      <sz val="11"/>
      <name val="Arial"/>
      <family val="2"/>
    </font>
    <font>
      <sz val="11"/>
      <name val="Arial"/>
      <family val="2"/>
    </font>
    <font>
      <sz val="11"/>
      <color rgb="FF000000"/>
      <name val="Arial"/>
      <family val="2"/>
    </font>
    <font>
      <sz val="11"/>
      <color indexed="8"/>
      <name val="Arial"/>
      <family val="2"/>
    </font>
    <font>
      <b/>
      <sz val="11"/>
      <color indexed="8"/>
      <name val="Arial"/>
      <family val="2"/>
    </font>
    <font>
      <sz val="9"/>
      <color theme="1"/>
      <name val="Univers 45 Light"/>
    </font>
    <font>
      <sz val="9"/>
      <color indexed="8"/>
      <name val="Univers 45 Light"/>
    </font>
    <font>
      <b/>
      <sz val="14"/>
      <name val="Univers 45 Light"/>
    </font>
    <font>
      <b/>
      <sz val="14"/>
      <name val="Arial"/>
      <family val="2"/>
    </font>
    <font>
      <sz val="9"/>
      <color indexed="81"/>
      <name val="Tahoma"/>
      <family val="2"/>
    </font>
    <font>
      <b/>
      <sz val="9"/>
      <color indexed="81"/>
      <name val="Tahoma"/>
      <family val="2"/>
    </font>
    <font>
      <b/>
      <sz val="11"/>
      <name val="Univers 45 Light"/>
    </font>
  </fonts>
  <fills count="4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FFCC"/>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44"/>
        <bgColor indexed="64"/>
      </patternFill>
    </fill>
    <fill>
      <patternFill patternType="solid">
        <fgColor indexed="26"/>
      </patternFill>
    </fill>
    <fill>
      <patternFill patternType="solid">
        <fgColor indexed="12"/>
      </patternFill>
    </fill>
    <fill>
      <patternFill patternType="solid">
        <fgColor indexed="43"/>
        <bgColor indexed="64"/>
      </patternFill>
    </fill>
    <fill>
      <patternFill patternType="solid">
        <fgColor indexed="54"/>
      </patternFill>
    </fill>
    <fill>
      <patternFill patternType="solid">
        <fgColor indexed="9"/>
      </patternFill>
    </fill>
    <fill>
      <patternFill patternType="solid">
        <fgColor indexed="9"/>
        <bgColor indexed="64"/>
      </patternFill>
    </fill>
    <fill>
      <patternFill patternType="solid">
        <fgColor indexed="17"/>
      </patternFill>
    </fill>
    <fill>
      <patternFill patternType="solid">
        <fgColor rgb="FFFF0000"/>
        <bgColor indexed="64"/>
      </patternFill>
    </fill>
    <fill>
      <patternFill patternType="solid">
        <fgColor theme="0" tint="-0.249977111117893"/>
        <bgColor indexed="64"/>
      </patternFill>
    </fill>
    <fill>
      <patternFill patternType="solid">
        <fgColor theme="2"/>
        <bgColor indexed="64"/>
      </patternFill>
    </fill>
    <fill>
      <patternFill patternType="solid">
        <fgColor theme="3"/>
        <bgColor indexed="64"/>
      </patternFill>
    </fill>
    <fill>
      <patternFill patternType="solid">
        <fgColor rgb="FFFFC000"/>
        <bgColor indexed="64"/>
      </patternFill>
    </fill>
    <fill>
      <patternFill patternType="solid">
        <fgColor rgb="FFFF66FF"/>
        <bgColor indexed="64"/>
      </patternFill>
    </fill>
  </fills>
  <borders count="90">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right/>
      <top/>
      <bottom style="double">
        <color indexed="52"/>
      </bottom>
      <diagonal/>
    </border>
    <border>
      <left style="thin">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hair">
        <color indexed="64"/>
      </left>
      <right style="hair">
        <color indexed="64"/>
      </right>
      <top style="thin">
        <color indexed="64"/>
      </top>
      <bottom style="hair">
        <color indexed="64"/>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right/>
      <top/>
      <bottom style="medium">
        <color indexed="24"/>
      </bottom>
      <diagonal/>
    </border>
    <border>
      <left/>
      <right/>
      <top/>
      <bottom style="thick">
        <color indexed="49"/>
      </bottom>
      <diagonal/>
    </border>
    <border>
      <left/>
      <right/>
      <top/>
      <bottom style="medium">
        <color indexed="49"/>
      </bottom>
      <diagonal/>
    </border>
    <border>
      <left style="thick">
        <color indexed="64"/>
      </left>
      <right style="thick">
        <color indexed="64"/>
      </right>
      <top style="thick">
        <color indexed="64"/>
      </top>
      <bottom style="dashed">
        <color indexed="64"/>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style="thin">
        <color indexed="8"/>
      </left>
      <right/>
      <top style="thin">
        <color indexed="8"/>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double">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double">
        <color indexed="64"/>
      </top>
      <bottom style="double">
        <color indexed="64"/>
      </bottom>
      <diagonal/>
    </border>
  </borders>
  <cellStyleXfs count="1531">
    <xf numFmtId="0" fontId="0" fillId="0" borderId="0"/>
    <xf numFmtId="43" fontId="2" fillId="0" borderId="0" applyFont="0" applyFill="0" applyBorder="0" applyAlignment="0" applyProtection="0"/>
    <xf numFmtId="0" fontId="2" fillId="0" borderId="0"/>
    <xf numFmtId="0" fontId="4" fillId="0" borderId="0"/>
    <xf numFmtId="0" fontId="5" fillId="0" borderId="0">
      <alignment vertical="top"/>
    </xf>
    <xf numFmtId="0" fontId="4" fillId="0" borderId="0"/>
    <xf numFmtId="9" fontId="2" fillId="0" borderId="0" applyFont="0" applyFill="0" applyBorder="0" applyAlignment="0" applyProtection="0"/>
    <xf numFmtId="0" fontId="4" fillId="0" borderId="0"/>
    <xf numFmtId="0" fontId="4" fillId="0" borderId="0"/>
    <xf numFmtId="0" fontId="2"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2" fillId="0" borderId="0"/>
    <xf numFmtId="0" fontId="2" fillId="0" borderId="0"/>
    <xf numFmtId="0" fontId="4" fillId="0" borderId="0"/>
    <xf numFmtId="0" fontId="4" fillId="0" borderId="0">
      <alignment vertical="top"/>
    </xf>
    <xf numFmtId="172" fontId="6" fillId="0" borderId="0" applyFont="0" applyFill="0" applyBorder="0" applyAlignment="0" applyProtection="0"/>
    <xf numFmtId="0" fontId="7" fillId="0" borderId="0">
      <alignment vertical="top"/>
    </xf>
    <xf numFmtId="0" fontId="4" fillId="0" borderId="0">
      <alignment vertical="top"/>
    </xf>
    <xf numFmtId="165" fontId="5" fillId="0" borderId="0" applyFill="0" applyBorder="0" applyAlignment="0">
      <protection locked="0"/>
    </xf>
    <xf numFmtId="43" fontId="4"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0" fontId="6" fillId="0" borderId="0"/>
    <xf numFmtId="175" fontId="2" fillId="0" borderId="0"/>
    <xf numFmtId="172" fontId="6" fillId="0" borderId="0" applyFont="0" applyFill="0" applyBorder="0" applyAlignment="0" applyProtection="0"/>
    <xf numFmtId="43" fontId="2" fillId="0" borderId="0" applyFont="0" applyFill="0" applyBorder="0" applyAlignment="0" applyProtection="0"/>
    <xf numFmtId="165" fontId="8" fillId="0" borderId="0" applyFont="0" applyFill="0" applyBorder="0" applyAlignment="0" applyProtection="0"/>
    <xf numFmtId="0" fontId="4" fillId="0" borderId="0"/>
    <xf numFmtId="175" fontId="2" fillId="0" borderId="0"/>
    <xf numFmtId="43" fontId="2" fillId="0" borderId="0" applyFont="0" applyFill="0" applyBorder="0" applyAlignment="0" applyProtection="0"/>
    <xf numFmtId="43" fontId="4" fillId="0" borderId="0" applyFont="0" applyFill="0" applyBorder="0" applyAlignment="0" applyProtection="0"/>
    <xf numFmtId="9" fontId="6" fillId="0" borderId="0" applyFont="0" applyFill="0" applyBorder="0" applyAlignment="0" applyProtection="0"/>
    <xf numFmtId="0" fontId="4" fillId="0" borderId="0"/>
    <xf numFmtId="165" fontId="2" fillId="0" borderId="0" applyFont="0" applyFill="0" applyBorder="0" applyAlignment="0" applyProtection="0"/>
    <xf numFmtId="43" fontId="4" fillId="0" borderId="0" applyFont="0" applyFill="0" applyBorder="0" applyAlignment="0" applyProtection="0"/>
    <xf numFmtId="177" fontId="4" fillId="0" borderId="0"/>
    <xf numFmtId="43" fontId="4" fillId="0" borderId="0" applyFont="0" applyFill="0" applyBorder="0" applyAlignment="0" applyProtection="0"/>
    <xf numFmtId="180" fontId="4" fillId="0" borderId="0"/>
    <xf numFmtId="0" fontId="4" fillId="0" borderId="0"/>
    <xf numFmtId="0" fontId="5" fillId="0" borderId="0"/>
    <xf numFmtId="0" fontId="4" fillId="0" borderId="0"/>
    <xf numFmtId="0" fontId="9" fillId="0" borderId="0"/>
    <xf numFmtId="43" fontId="10" fillId="0" borderId="0" applyFont="0" applyFill="0" applyBorder="0" applyAlignment="0" applyProtection="0"/>
    <xf numFmtId="9" fontId="10" fillId="0" borderId="0" applyFont="0" applyFill="0" applyBorder="0" applyAlignment="0" applyProtection="0"/>
    <xf numFmtId="0" fontId="4" fillId="0" borderId="0">
      <alignment vertical="top"/>
    </xf>
    <xf numFmtId="0" fontId="2" fillId="0" borderId="0"/>
    <xf numFmtId="0" fontId="4" fillId="0" borderId="0"/>
    <xf numFmtId="43" fontId="2" fillId="0" borderId="0" applyFont="0" applyFill="0" applyBorder="0" applyAlignment="0" applyProtection="0"/>
    <xf numFmtId="0" fontId="2" fillId="0" borderId="0"/>
    <xf numFmtId="170" fontId="13" fillId="0" borderId="0"/>
    <xf numFmtId="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0" fontId="13" fillId="0" borderId="0"/>
    <xf numFmtId="0" fontId="2" fillId="0" borderId="0"/>
    <xf numFmtId="170" fontId="13" fillId="0" borderId="0"/>
    <xf numFmtId="0" fontId="13" fillId="0" borderId="0"/>
    <xf numFmtId="183" fontId="4" fillId="0" borderId="0" applyFont="0" applyFill="0" applyBorder="0" applyAlignment="0" applyProtection="0"/>
    <xf numFmtId="184" fontId="4" fillId="0" borderId="0" applyFont="0" applyFill="0" applyBorder="0" applyAlignment="0" applyProtection="0"/>
    <xf numFmtId="0" fontId="14" fillId="0" borderId="2" applyNumberFormat="0" applyFill="0" applyAlignment="0" applyProtection="0"/>
    <xf numFmtId="185" fontId="4" fillId="0" borderId="0" applyFont="0" applyFill="0" applyBorder="0" applyAlignment="0" applyProtection="0"/>
    <xf numFmtId="186" fontId="15" fillId="0" borderId="0" applyFill="0" applyBorder="0" applyAlignment="0"/>
    <xf numFmtId="187" fontId="2" fillId="0" borderId="0" applyFill="0" applyBorder="0" applyAlignment="0"/>
    <xf numFmtId="188" fontId="2" fillId="0" borderId="0" applyFill="0" applyBorder="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4"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9" fontId="2" fillId="0" borderId="0" applyFill="0" applyBorder="0" applyAlignment="0" applyProtection="0"/>
    <xf numFmtId="43" fontId="2" fillId="0" borderId="0" applyFont="0" applyFill="0" applyBorder="0" applyAlignment="0" applyProtection="0"/>
    <xf numFmtId="165" fontId="5" fillId="0" borderId="0" applyFill="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189"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189" fontId="4" fillId="0" borderId="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2" fontId="6"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165" fontId="2" fillId="0" borderId="0" applyFont="0" applyFill="0" applyBorder="0" applyAlignment="0" applyProtection="0"/>
    <xf numFmtId="190" fontId="2" fillId="0" borderId="0" applyFont="0" applyFill="0" applyBorder="0" applyAlignment="0" applyProtection="0"/>
    <xf numFmtId="43" fontId="4" fillId="0" borderId="0" applyFont="0" applyFill="0" applyBorder="0" applyAlignment="0" applyProtection="0"/>
    <xf numFmtId="172" fontId="6" fillId="0" borderId="0" applyFont="0" applyFill="0" applyBorder="0" applyAlignment="0" applyProtection="0"/>
    <xf numFmtId="43" fontId="2" fillId="0" borderId="0" applyFont="0" applyFill="0" applyBorder="0" applyAlignment="0" applyProtection="0"/>
    <xf numFmtId="190" fontId="2" fillId="0" borderId="0" applyFont="0" applyFill="0" applyBorder="0" applyAlignment="0" applyProtection="0"/>
    <xf numFmtId="43" fontId="4" fillId="0" borderId="0" applyFont="0" applyFill="0" applyBorder="0" applyAlignment="0" applyProtection="0"/>
    <xf numFmtId="0"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90" fontId="2" fillId="0" borderId="0" applyFont="0" applyFill="0" applyBorder="0" applyAlignment="0" applyProtection="0"/>
    <xf numFmtId="43" fontId="10" fillId="0" borderId="0" applyFont="0" applyFill="0" applyBorder="0" applyAlignment="0" applyProtection="0"/>
    <xf numFmtId="166" fontId="8" fillId="0" borderId="0" applyFont="0" applyFill="0" applyBorder="0" applyAlignment="0" applyProtection="0"/>
    <xf numFmtId="43" fontId="10" fillId="0" borderId="0" applyFont="0" applyFill="0" applyBorder="0" applyAlignment="0" applyProtection="0"/>
    <xf numFmtId="166" fontId="8" fillId="0" borderId="0" applyFont="0" applyFill="0" applyBorder="0" applyAlignment="0" applyProtection="0"/>
    <xf numFmtId="165" fontId="5" fillId="0" borderId="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0" fontId="2" fillId="0" borderId="0" applyFont="0" applyFill="0" applyBorder="0" applyAlignment="0" applyProtection="0"/>
    <xf numFmtId="0" fontId="19" fillId="0" borderId="0" applyNumberFormat="0" applyFill="0" applyBorder="0" applyAlignment="0" applyProtection="0"/>
    <xf numFmtId="191" fontId="20" fillId="0" borderId="0" applyFill="0" applyBorder="0">
      <alignment horizontal="left"/>
    </xf>
    <xf numFmtId="0" fontId="19" fillId="0" borderId="0" applyNumberFormat="0" applyFill="0" applyBorder="0" applyAlignment="0" applyProtection="0"/>
    <xf numFmtId="192" fontId="4" fillId="0" borderId="0" applyFont="0" applyFill="0" applyBorder="0" applyAlignment="0" applyProtection="0"/>
    <xf numFmtId="193" fontId="21" fillId="0" borderId="0" applyFont="0" applyFill="0" applyBorder="0" applyAlignment="0" applyProtection="0"/>
    <xf numFmtId="188" fontId="2" fillId="0" borderId="0" applyFill="0" applyBorder="0" applyAlignment="0"/>
    <xf numFmtId="170" fontId="2" fillId="0" borderId="0" applyFont="0" applyFill="0" applyBorder="0" applyAlignment="0" applyProtection="0"/>
    <xf numFmtId="0" fontId="2" fillId="0" borderId="0"/>
    <xf numFmtId="38" fontId="15" fillId="6" borderId="0" applyNumberFormat="0" applyBorder="0" applyAlignment="0" applyProtection="0"/>
    <xf numFmtId="0" fontId="22" fillId="0" borderId="18" applyNumberFormat="0" applyAlignment="0" applyProtection="0">
      <alignment horizontal="left" vertical="center"/>
    </xf>
    <xf numFmtId="0" fontId="22" fillId="0" borderId="13">
      <alignment horizontal="left" vertical="center"/>
    </xf>
    <xf numFmtId="10" fontId="15" fillId="7" borderId="16" applyNumberFormat="0" applyBorder="0" applyAlignment="0" applyProtection="0"/>
    <xf numFmtId="194" fontId="2" fillId="0" borderId="0"/>
    <xf numFmtId="195" fontId="23" fillId="0" borderId="0"/>
    <xf numFmtId="188" fontId="2" fillId="0" borderId="0" applyFill="0" applyBorder="0" applyAlignment="0"/>
    <xf numFmtId="196"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9" fontId="2" fillId="0" borderId="0" applyFont="0" applyFill="0" applyBorder="0" applyAlignment="0" applyProtection="0"/>
    <xf numFmtId="200" fontId="2" fillId="0" borderId="0" applyFont="0" applyFill="0" applyBorder="0" applyAlignment="0" applyProtection="0"/>
    <xf numFmtId="201" fontId="2" fillId="0" borderId="0" applyFont="0" applyFill="0" applyBorder="0" applyAlignment="0" applyProtection="0"/>
    <xf numFmtId="202" fontId="6" fillId="0" borderId="0" applyFill="0" applyBorder="0">
      <alignment horizontal="center" vertical="top"/>
    </xf>
    <xf numFmtId="0" fontId="6" fillId="0" borderId="0"/>
    <xf numFmtId="0" fontId="2" fillId="0" borderId="0"/>
    <xf numFmtId="0" fontId="2" fillId="0" borderId="0"/>
    <xf numFmtId="0" fontId="5" fillId="0" borderId="0">
      <alignment vertical="top"/>
    </xf>
    <xf numFmtId="0" fontId="5" fillId="0" borderId="0">
      <alignment vertical="top"/>
    </xf>
    <xf numFmtId="0" fontId="10" fillId="0" borderId="0"/>
    <xf numFmtId="0" fontId="4" fillId="0" borderId="0"/>
    <xf numFmtId="0" fontId="10" fillId="0" borderId="0"/>
    <xf numFmtId="0" fontId="10" fillId="0" borderId="0"/>
    <xf numFmtId="170" fontId="5" fillId="0" borderId="0">
      <protection locked="0"/>
    </xf>
    <xf numFmtId="0" fontId="10" fillId="0" borderId="0"/>
    <xf numFmtId="0" fontId="10" fillId="0" borderId="0"/>
    <xf numFmtId="0" fontId="10" fillId="0" borderId="0"/>
    <xf numFmtId="0" fontId="24" fillId="0" borderId="0"/>
    <xf numFmtId="0" fontId="10" fillId="0" borderId="0"/>
    <xf numFmtId="180" fontId="4" fillId="0" borderId="0"/>
    <xf numFmtId="0" fontId="2" fillId="0" borderId="0"/>
    <xf numFmtId="0" fontId="4" fillId="0" borderId="0"/>
    <xf numFmtId="0" fontId="5" fillId="0" borderId="0">
      <alignment vertical="top"/>
    </xf>
    <xf numFmtId="0" fontId="5" fillId="0" borderId="0">
      <protection locked="0"/>
    </xf>
    <xf numFmtId="0" fontId="5" fillId="0" borderId="0">
      <alignment vertical="top"/>
    </xf>
    <xf numFmtId="170" fontId="4" fillId="0" borderId="0"/>
    <xf numFmtId="0" fontId="2" fillId="0" borderId="0">
      <alignment vertical="top"/>
    </xf>
    <xf numFmtId="0" fontId="4" fillId="0" borderId="0"/>
    <xf numFmtId="0" fontId="5" fillId="0" borderId="0">
      <alignment vertical="top"/>
    </xf>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80" fontId="4" fillId="0" borderId="0"/>
    <xf numFmtId="0" fontId="2" fillId="0" borderId="0"/>
    <xf numFmtId="0" fontId="2" fillId="0" borderId="0"/>
    <xf numFmtId="0" fontId="2" fillId="0" borderId="0"/>
    <xf numFmtId="0" fontId="10" fillId="0" borderId="0"/>
    <xf numFmtId="0" fontId="10" fillId="0" borderId="0"/>
    <xf numFmtId="0" fontId="5" fillId="0" borderId="0"/>
    <xf numFmtId="0" fontId="4" fillId="0" borderId="0"/>
    <xf numFmtId="0" fontId="2" fillId="0" borderId="0"/>
    <xf numFmtId="0" fontId="2" fillId="0" borderId="0"/>
    <xf numFmtId="0" fontId="10" fillId="0" borderId="0"/>
    <xf numFmtId="0" fontId="4" fillId="0" borderId="0"/>
    <xf numFmtId="0" fontId="10" fillId="0" borderId="0"/>
    <xf numFmtId="0" fontId="10" fillId="0" borderId="0"/>
    <xf numFmtId="0" fontId="25" fillId="0" borderId="0">
      <protection locked="0"/>
    </xf>
    <xf numFmtId="0" fontId="7" fillId="0" borderId="0"/>
    <xf numFmtId="0" fontId="4" fillId="0" borderId="0"/>
    <xf numFmtId="0" fontId="10" fillId="5" borderId="17" applyNumberFormat="0" applyFont="0" applyAlignment="0" applyProtection="0"/>
    <xf numFmtId="0" fontId="15" fillId="0" borderId="0" applyFill="0" applyBorder="0" applyProtection="0">
      <alignment horizontal="center" vertical="center"/>
    </xf>
    <xf numFmtId="10" fontId="2"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188" fontId="2" fillId="0" borderId="0" applyFill="0" applyBorder="0" applyAlignment="0"/>
    <xf numFmtId="0" fontId="26" fillId="0" borderId="19" applyNumberFormat="0" applyBorder="0" applyAlignment="0"/>
    <xf numFmtId="0" fontId="2" fillId="0" borderId="0"/>
    <xf numFmtId="0" fontId="7" fillId="0" borderId="0">
      <alignment vertical="top"/>
    </xf>
    <xf numFmtId="0" fontId="7" fillId="0" borderId="0">
      <alignment vertical="top"/>
    </xf>
    <xf numFmtId="170" fontId="7" fillId="0" borderId="0">
      <alignment vertical="top"/>
    </xf>
    <xf numFmtId="0" fontId="2" fillId="0" borderId="0"/>
    <xf numFmtId="181" fontId="2" fillId="0" borderId="0"/>
    <xf numFmtId="0" fontId="27" fillId="0" borderId="0"/>
    <xf numFmtId="0" fontId="28" fillId="0" borderId="0">
      <alignment horizontal="left" vertical="center"/>
    </xf>
    <xf numFmtId="0" fontId="29" fillId="0" borderId="0" applyNumberFormat="0" applyFill="0" applyBorder="0" applyProtection="0">
      <alignment vertical="center"/>
    </xf>
    <xf numFmtId="37" fontId="30" fillId="0" borderId="20" applyNumberFormat="0" applyFont="0" applyBorder="0" applyAlignment="0" applyProtection="0">
      <alignment horizontal="centerContinuous"/>
    </xf>
    <xf numFmtId="49" fontId="7" fillId="0" borderId="0" applyFill="0" applyBorder="0" applyAlignment="0"/>
    <xf numFmtId="188" fontId="2" fillId="0" borderId="0" applyFill="0" applyBorder="0" applyAlignment="0"/>
    <xf numFmtId="0" fontId="4" fillId="0" borderId="0"/>
    <xf numFmtId="0" fontId="4" fillId="0" borderId="0"/>
    <xf numFmtId="0" fontId="4" fillId="0" borderId="0"/>
    <xf numFmtId="203" fontId="4" fillId="0" borderId="0" applyFont="0" applyFill="0" applyBorder="0" applyProtection="0"/>
    <xf numFmtId="0" fontId="4" fillId="0" borderId="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1" fontId="3" fillId="0" borderId="21" applyNumberFormat="0" applyFont="0" applyAlignment="0"/>
    <xf numFmtId="0" fontId="34" fillId="26" borderId="43" applyNumberFormat="0" applyAlignment="0" applyProtection="0"/>
    <xf numFmtId="186" fontId="15" fillId="0" borderId="0" applyFill="0" applyBorder="0" applyAlignment="0"/>
    <xf numFmtId="204" fontId="7" fillId="0" borderId="0" applyFill="0" applyBorder="0" applyAlignment="0"/>
    <xf numFmtId="205" fontId="7" fillId="0" borderId="0" applyFill="0" applyBorder="0" applyAlignment="0"/>
    <xf numFmtId="206" fontId="7" fillId="0" borderId="0" applyFill="0" applyBorder="0" applyAlignment="0"/>
    <xf numFmtId="207" fontId="7" fillId="0" borderId="0" applyFill="0" applyBorder="0" applyAlignment="0"/>
    <xf numFmtId="208" fontId="7" fillId="0" borderId="0" applyFill="0" applyBorder="0" applyAlignment="0"/>
    <xf numFmtId="209" fontId="7" fillId="0" borderId="0" applyFill="0" applyBorder="0" applyAlignment="0"/>
    <xf numFmtId="204" fontId="7" fillId="0" borderId="0" applyFill="0" applyBorder="0" applyAlignment="0"/>
    <xf numFmtId="0" fontId="34" fillId="26" borderId="22" applyNumberFormat="0" applyAlignment="0" applyProtection="0"/>
    <xf numFmtId="0" fontId="34" fillId="26" borderId="22" applyNumberFormat="0" applyAlignment="0" applyProtection="0"/>
    <xf numFmtId="0" fontId="34" fillId="26" borderId="22" applyNumberFormat="0" applyAlignment="0" applyProtection="0"/>
    <xf numFmtId="0" fontId="35" fillId="27" borderId="23" applyNumberFormat="0" applyAlignment="0" applyProtection="0"/>
    <xf numFmtId="0" fontId="35" fillId="27" borderId="23" applyNumberFormat="0" applyAlignment="0" applyProtection="0"/>
    <xf numFmtId="203" fontId="4" fillId="0" borderId="0" applyFont="0" applyFill="0" applyBorder="0" applyProtection="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10" fontId="15" fillId="0" borderId="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7"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3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4" fillId="0" borderId="0" applyNumberFormat="0" applyFill="0" applyBorder="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8" fillId="0" borderId="0" applyFont="0" applyFill="0" applyBorder="0" applyAlignment="0" applyProtection="0"/>
    <xf numFmtId="165"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0" fontId="16" fillId="0" borderId="0"/>
    <xf numFmtId="0" fontId="16" fillId="0" borderId="24"/>
    <xf numFmtId="0" fontId="16" fillId="0" borderId="24"/>
    <xf numFmtId="14" fontId="7" fillId="0" borderId="0" applyFill="0" applyBorder="0" applyAlignment="0"/>
    <xf numFmtId="164" fontId="2" fillId="0" borderId="0" applyFont="0" applyFill="0" applyBorder="0" applyAlignment="0" applyProtection="0"/>
    <xf numFmtId="165" fontId="2" fillId="0" borderId="0" applyFont="0" applyFill="0" applyBorder="0" applyAlignment="0" applyProtection="0"/>
    <xf numFmtId="208" fontId="36" fillId="0" borderId="0" applyFill="0" applyBorder="0" applyAlignment="0"/>
    <xf numFmtId="204" fontId="36" fillId="0" borderId="0" applyFill="0" applyBorder="0" applyAlignment="0"/>
    <xf numFmtId="208" fontId="36" fillId="0" borderId="0" applyFill="0" applyBorder="0" applyAlignment="0"/>
    <xf numFmtId="209" fontId="36" fillId="0" borderId="0" applyFill="0" applyBorder="0" applyAlignment="0"/>
    <xf numFmtId="204" fontId="36" fillId="0" borderId="0" applyFill="0" applyBorder="0" applyAlignment="0"/>
    <xf numFmtId="211" fontId="2" fillId="0" borderId="0" applyFont="0" applyFill="0" applyBorder="0" applyAlignment="0" applyProtection="0"/>
    <xf numFmtId="211" fontId="2" fillId="0" borderId="0" applyFont="0" applyFill="0" applyBorder="0" applyAlignment="0" applyProtection="0"/>
    <xf numFmtId="211" fontId="2"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10" borderId="0" applyNumberFormat="0" applyBorder="0" applyAlignment="0" applyProtection="0"/>
    <xf numFmtId="0" fontId="38" fillId="10" borderId="0" applyNumberFormat="0" applyBorder="0" applyAlignment="0" applyProtection="0"/>
    <xf numFmtId="38" fontId="39" fillId="6" borderId="0" applyNumberFormat="0" applyBorder="0" applyAlignment="0" applyProtection="0"/>
    <xf numFmtId="0" fontId="22" fillId="0" borderId="13">
      <alignment horizontal="left" vertical="center"/>
    </xf>
    <xf numFmtId="0" fontId="22" fillId="0" borderId="13">
      <alignment horizontal="left" vertical="center"/>
    </xf>
    <xf numFmtId="0" fontId="40" fillId="0" borderId="25" applyNumberFormat="0" applyFill="0" applyAlignment="0" applyProtection="0"/>
    <xf numFmtId="0" fontId="40" fillId="0" borderId="25" applyNumberFormat="0" applyFill="0" applyAlignment="0" applyProtection="0"/>
    <xf numFmtId="0" fontId="41" fillId="0" borderId="26" applyNumberFormat="0" applyFill="0" applyAlignment="0" applyProtection="0"/>
    <xf numFmtId="0" fontId="41" fillId="0" borderId="26"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60" fillId="0" borderId="0" applyNumberFormat="0" applyFill="0" applyBorder="0" applyAlignment="0" applyProtection="0">
      <alignment vertical="top"/>
      <protection locked="0"/>
    </xf>
    <xf numFmtId="0" fontId="43" fillId="13" borderId="22" applyNumberFormat="0" applyAlignment="0" applyProtection="0"/>
    <xf numFmtId="10" fontId="39" fillId="7" borderId="16" applyNumberFormat="0" applyBorder="0" applyAlignment="0" applyProtection="0"/>
    <xf numFmtId="10" fontId="39" fillId="7" borderId="16" applyNumberFormat="0" applyBorder="0" applyAlignment="0" applyProtection="0"/>
    <xf numFmtId="10" fontId="39" fillId="7" borderId="16" applyNumberFormat="0" applyBorder="0" applyAlignment="0" applyProtection="0"/>
    <xf numFmtId="0" fontId="43" fillId="13" borderId="22" applyNumberFormat="0" applyAlignment="0" applyProtection="0"/>
    <xf numFmtId="0" fontId="43" fillId="13" borderId="22" applyNumberFormat="0" applyAlignment="0" applyProtection="0"/>
    <xf numFmtId="0" fontId="43" fillId="13" borderId="22" applyNumberFormat="0" applyAlignment="0" applyProtection="0"/>
    <xf numFmtId="0" fontId="43" fillId="13" borderId="22" applyNumberFormat="0" applyAlignment="0" applyProtection="0"/>
    <xf numFmtId="0" fontId="43" fillId="13" borderId="22" applyNumberFormat="0" applyAlignment="0" applyProtection="0"/>
    <xf numFmtId="0" fontId="43" fillId="13" borderId="22" applyNumberFormat="0" applyAlignment="0" applyProtection="0"/>
    <xf numFmtId="0" fontId="43" fillId="13" borderId="22" applyNumberFormat="0" applyAlignment="0" applyProtection="0"/>
    <xf numFmtId="0" fontId="43" fillId="13" borderId="22" applyNumberFormat="0" applyAlignment="0" applyProtection="0"/>
    <xf numFmtId="0" fontId="3" fillId="0" borderId="28">
      <alignment wrapText="1"/>
    </xf>
    <xf numFmtId="0" fontId="44" fillId="28" borderId="24"/>
    <xf numFmtId="0" fontId="44" fillId="28" borderId="24"/>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208" fontId="48" fillId="0" borderId="0" applyFill="0" applyBorder="0" applyAlignment="0"/>
    <xf numFmtId="204" fontId="48" fillId="0" borderId="0" applyFill="0" applyBorder="0" applyAlignment="0"/>
    <xf numFmtId="208" fontId="48" fillId="0" borderId="0" applyFill="0" applyBorder="0" applyAlignment="0"/>
    <xf numFmtId="209" fontId="48" fillId="0" borderId="0" applyFill="0" applyBorder="0" applyAlignment="0"/>
    <xf numFmtId="204" fontId="48" fillId="0" borderId="0" applyFill="0" applyBorder="0" applyAlignment="0"/>
    <xf numFmtId="0" fontId="49" fillId="0" borderId="29" applyNumberFormat="0" applyFill="0" applyAlignment="0" applyProtection="0"/>
    <xf numFmtId="0" fontId="49" fillId="0" borderId="29" applyNumberFormat="0" applyFill="0" applyAlignment="0" applyProtection="0"/>
    <xf numFmtId="38" fontId="50" fillId="0" borderId="0" applyFont="0" applyFill="0" applyBorder="0" applyAlignment="0" applyProtection="0"/>
    <xf numFmtId="40" fontId="50" fillId="0" borderId="0" applyFont="0" applyFill="0" applyBorder="0" applyAlignment="0" applyProtection="0"/>
    <xf numFmtId="6" fontId="50" fillId="0" borderId="0" applyFont="0" applyFill="0" applyBorder="0" applyAlignment="0" applyProtection="0"/>
    <xf numFmtId="8" fontId="50" fillId="0" borderId="0" applyFont="0" applyFill="0" applyBorder="0" applyAlignment="0" applyProtection="0"/>
    <xf numFmtId="6" fontId="50" fillId="0" borderId="0" applyFont="0" applyFill="0" applyBorder="0" applyAlignment="0" applyProtection="0"/>
    <xf numFmtId="8" fontId="50" fillId="0" borderId="0" applyFont="0" applyFill="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2" fillId="30" borderId="30" applyNumberFormat="0"/>
    <xf numFmtId="212" fontId="53" fillId="0" borderId="0"/>
    <xf numFmtId="0" fontId="20" fillId="0" borderId="0">
      <alignment vertical="top"/>
      <protection locked="0"/>
    </xf>
    <xf numFmtId="0" fontId="2" fillId="0" borderId="0"/>
    <xf numFmtId="0" fontId="5" fillId="0" borderId="0"/>
    <xf numFmtId="0" fontId="2" fillId="0" borderId="0"/>
    <xf numFmtId="0" fontId="5" fillId="0" borderId="0"/>
    <xf numFmtId="0" fontId="2" fillId="0" borderId="0"/>
    <xf numFmtId="0" fontId="5" fillId="0" borderId="0"/>
    <xf numFmtId="0" fontId="7" fillId="0" borderId="0">
      <alignment vertical="top"/>
    </xf>
    <xf numFmtId="0" fontId="5" fillId="0" borderId="0"/>
    <xf numFmtId="0" fontId="2" fillId="0" borderId="0"/>
    <xf numFmtId="0" fontId="5" fillId="0" borderId="0"/>
    <xf numFmtId="0" fontId="2" fillId="0" borderId="0"/>
    <xf numFmtId="0" fontId="5" fillId="0" borderId="0"/>
    <xf numFmtId="0" fontId="5" fillId="0" borderId="0"/>
    <xf numFmtId="0" fontId="5" fillId="0" borderId="0"/>
    <xf numFmtId="0" fontId="5" fillId="0" borderId="0"/>
    <xf numFmtId="0" fontId="7" fillId="0" borderId="0">
      <alignment vertical="top"/>
    </xf>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5"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5" fillId="0" borderId="0"/>
    <xf numFmtId="0" fontId="5" fillId="0" borderId="0"/>
    <xf numFmtId="0" fontId="10" fillId="0" borderId="0"/>
    <xf numFmtId="0" fontId="5" fillId="0" borderId="0"/>
    <xf numFmtId="0" fontId="5" fillId="0" borderId="0"/>
    <xf numFmtId="0" fontId="2" fillId="0" borderId="0"/>
    <xf numFmtId="0" fontId="4" fillId="0" borderId="0"/>
    <xf numFmtId="0" fontId="4" fillId="0" borderId="0"/>
    <xf numFmtId="0" fontId="2" fillId="0" borderId="0"/>
    <xf numFmtId="0" fontId="4" fillId="0" borderId="0">
      <alignment vertical="top"/>
    </xf>
    <xf numFmtId="0" fontId="31" fillId="0" borderId="0"/>
    <xf numFmtId="0" fontId="2" fillId="0" borderId="0"/>
    <xf numFmtId="0" fontId="2" fillId="0" borderId="0"/>
    <xf numFmtId="0" fontId="2" fillId="0" borderId="0"/>
    <xf numFmtId="0" fontId="2" fillId="0" borderId="0"/>
    <xf numFmtId="0" fontId="2" fillId="0" borderId="0"/>
    <xf numFmtId="0" fontId="4" fillId="31" borderId="31" applyNumberFormat="0" applyFont="0" applyAlignment="0" applyProtection="0"/>
    <xf numFmtId="0" fontId="4" fillId="31" borderId="31" applyNumberFormat="0" applyFont="0" applyAlignment="0" applyProtection="0"/>
    <xf numFmtId="0" fontId="4" fillId="31" borderId="31" applyNumberFormat="0" applyFont="0" applyAlignment="0" applyProtection="0"/>
    <xf numFmtId="0" fontId="54" fillId="26" borderId="32" applyNumberFormat="0" applyAlignment="0" applyProtection="0"/>
    <xf numFmtId="0" fontId="54" fillId="26" borderId="32" applyNumberFormat="0" applyAlignment="0" applyProtection="0"/>
    <xf numFmtId="207"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213"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0" fillId="0" borderId="33" applyNumberFormat="0" applyBorder="0"/>
    <xf numFmtId="208" fontId="55" fillId="0" borderId="0" applyFill="0" applyBorder="0" applyAlignment="0"/>
    <xf numFmtId="204" fontId="55" fillId="0" borderId="0" applyFill="0" applyBorder="0" applyAlignment="0"/>
    <xf numFmtId="208" fontId="55" fillId="0" borderId="0" applyFill="0" applyBorder="0" applyAlignment="0"/>
    <xf numFmtId="209" fontId="55" fillId="0" borderId="0" applyFill="0" applyBorder="0" applyAlignment="0"/>
    <xf numFmtId="204" fontId="55" fillId="0" borderId="0" applyFill="0" applyBorder="0" applyAlignment="0"/>
    <xf numFmtId="0" fontId="16" fillId="0" borderId="0"/>
    <xf numFmtId="0" fontId="2" fillId="0" borderId="0"/>
    <xf numFmtId="0" fontId="2" fillId="0" borderId="0"/>
    <xf numFmtId="0" fontId="16" fillId="0" borderId="24"/>
    <xf numFmtId="0" fontId="16" fillId="0" borderId="24"/>
    <xf numFmtId="214" fontId="7" fillId="0" borderId="0" applyFill="0" applyBorder="0" applyAlignment="0"/>
    <xf numFmtId="215" fontId="7" fillId="0" borderId="0" applyFill="0" applyBorder="0" applyAlignment="0"/>
    <xf numFmtId="0" fontId="56" fillId="0" borderId="0" applyNumberFormat="0" applyFill="0" applyBorder="0" applyAlignment="0" applyProtection="0"/>
    <xf numFmtId="0" fontId="57" fillId="32" borderId="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 fillId="33" borderId="34">
      <alignment wrapText="1"/>
    </xf>
    <xf numFmtId="0" fontId="58" fillId="0" borderId="35" applyNumberFormat="0" applyFill="0" applyAlignment="0" applyProtection="0"/>
    <xf numFmtId="0" fontId="58" fillId="0" borderId="35" applyNumberFormat="0" applyFill="0" applyAlignment="0" applyProtection="0"/>
    <xf numFmtId="0" fontId="44" fillId="0" borderId="36"/>
    <xf numFmtId="0" fontId="44" fillId="0" borderId="24"/>
    <xf numFmtId="0" fontId="44" fillId="0" borderId="24"/>
    <xf numFmtId="42" fontId="2" fillId="0" borderId="0" applyFont="0" applyFill="0" applyBorder="0" applyAlignment="0" applyProtection="0"/>
    <xf numFmtId="44" fontId="2"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2"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2" fillId="0" borderId="0" applyNumberFormat="0" applyFont="0" applyFill="0" applyBorder="0" applyAlignment="0" applyProtection="0"/>
    <xf numFmtId="0" fontId="31" fillId="13"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5"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31"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31"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26"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29"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26"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29"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2" fillId="20"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29"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26"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218" fontId="70" fillId="0" borderId="16" applyFont="0" applyFill="0" applyBorder="0" applyAlignment="0" applyProtection="0"/>
    <xf numFmtId="0" fontId="32" fillId="20"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3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43" fontId="2" fillId="0" borderId="0" applyFont="0" applyFill="0" applyBorder="0" applyAlignment="0" applyProtection="0"/>
    <xf numFmtId="0" fontId="33" fillId="9" borderId="0" applyNumberFormat="0" applyBorder="0" applyAlignment="0" applyProtection="0"/>
    <xf numFmtId="0" fontId="33" fillId="9" borderId="0" applyNumberFormat="0" applyBorder="0" applyAlignment="0" applyProtection="0"/>
    <xf numFmtId="0" fontId="71" fillId="0" borderId="0" applyNumberFormat="0" applyFill="0" applyBorder="0" applyAlignment="0" applyProtection="0"/>
    <xf numFmtId="0" fontId="34" fillId="26" borderId="43" applyNumberFormat="0" applyAlignment="0" applyProtection="0"/>
    <xf numFmtId="49" fontId="72" fillId="0" borderId="0" applyFont="0" applyFill="0" applyBorder="0" applyAlignment="0" applyProtection="0">
      <alignment horizontal="left"/>
    </xf>
    <xf numFmtId="219" fontId="12" fillId="0" borderId="0" applyAlignment="0" applyProtection="0"/>
    <xf numFmtId="187" fontId="15" fillId="0" borderId="0" applyFill="0" applyBorder="0" applyAlignment="0" applyProtection="0"/>
    <xf numFmtId="49" fontId="15" fillId="0" borderId="0" applyNumberFormat="0" applyAlignment="0" applyProtection="0">
      <alignment horizontal="left"/>
    </xf>
    <xf numFmtId="49" fontId="73" fillId="0" borderId="37" applyNumberFormat="0" applyAlignment="0" applyProtection="0">
      <alignment horizontal="left" wrapText="1"/>
    </xf>
    <xf numFmtId="49" fontId="73" fillId="0" borderId="0" applyNumberFormat="0" applyAlignment="0" applyProtection="0">
      <alignment horizontal="left" wrapText="1"/>
    </xf>
    <xf numFmtId="49" fontId="74" fillId="0" borderId="0" applyAlignment="0" applyProtection="0">
      <alignment horizontal="left"/>
    </xf>
    <xf numFmtId="0" fontId="34" fillId="26" borderId="43" applyNumberFormat="0" applyAlignment="0" applyProtection="0"/>
    <xf numFmtId="0" fontId="34" fillId="35" borderId="22" applyNumberFormat="0" applyAlignment="0" applyProtection="0"/>
    <xf numFmtId="0" fontId="34" fillId="26" borderId="22" applyNumberFormat="0" applyAlignment="0" applyProtection="0"/>
    <xf numFmtId="0" fontId="35" fillId="27" borderId="23" applyNumberFormat="0" applyAlignment="0" applyProtection="0"/>
    <xf numFmtId="0" fontId="35" fillId="27" borderId="23" applyNumberFormat="0" applyAlignment="0" applyProtection="0"/>
    <xf numFmtId="223" fontId="2" fillId="0" borderId="0" applyFont="0" applyFill="0" applyBorder="0" applyAlignment="0" applyProtection="0"/>
    <xf numFmtId="217" fontId="61" fillId="0" borderId="0"/>
    <xf numFmtId="217" fontId="61" fillId="0" borderId="0"/>
    <xf numFmtId="217" fontId="61" fillId="0" borderId="0"/>
    <xf numFmtId="217" fontId="61" fillId="0" borderId="0"/>
    <xf numFmtId="217" fontId="61" fillId="0" borderId="0"/>
    <xf numFmtId="217" fontId="61" fillId="0" borderId="0"/>
    <xf numFmtId="217" fontId="61" fillId="0" borderId="0"/>
    <xf numFmtId="217" fontId="61" fillId="0" borderId="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 fillId="0" borderId="0">
      <alignment vertical="top"/>
    </xf>
    <xf numFmtId="166" fontId="8" fillId="0" borderId="0" applyFont="0" applyFill="0" applyBorder="0" applyAlignment="0" applyProtection="0"/>
    <xf numFmtId="216" fontId="2" fillId="0" borderId="0" applyFont="0" applyFill="0" applyBorder="0" applyAlignment="0" applyProtection="0"/>
    <xf numFmtId="43" fontId="2" fillId="0" borderId="0" applyFont="0" applyFill="0" applyBorder="0" applyAlignment="0" applyProtection="0"/>
    <xf numFmtId="0" fontId="56" fillId="0" borderId="0" applyNumberFormat="0" applyFill="0" applyBorder="0" applyAlignment="0" applyProtection="0"/>
    <xf numFmtId="0" fontId="68" fillId="6" borderId="0" applyFill="0" applyBorder="0"/>
    <xf numFmtId="0" fontId="75" fillId="0" borderId="0" applyNumberFormat="0" applyAlignment="0">
      <alignment horizontal="left"/>
    </xf>
    <xf numFmtId="44" fontId="2" fillId="0" borderId="0" applyFont="0" applyFill="0" applyBorder="0" applyAlignment="0" applyProtection="0"/>
    <xf numFmtId="0" fontId="16" fillId="0" borderId="0"/>
    <xf numFmtId="0" fontId="76" fillId="6" borderId="0"/>
    <xf numFmtId="0" fontId="77" fillId="0" borderId="0" applyNumberFormat="0" applyAlignment="0">
      <alignment horizontal="left"/>
    </xf>
    <xf numFmtId="170" fontId="2"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8" fillId="0" borderId="0" applyFill="0" applyAlignment="0"/>
    <xf numFmtId="0" fontId="38" fillId="10" borderId="0" applyNumberFormat="0" applyBorder="0" applyAlignment="0" applyProtection="0"/>
    <xf numFmtId="0" fontId="38" fillId="10" borderId="0" applyNumberFormat="0" applyBorder="0" applyAlignment="0" applyProtection="0"/>
    <xf numFmtId="38" fontId="15" fillId="6" borderId="0" applyNumberFormat="0" applyBorder="0" applyAlignment="0" applyProtection="0"/>
    <xf numFmtId="0" fontId="64" fillId="0" borderId="38" applyNumberFormat="0" applyFill="0" applyAlignment="0" applyProtection="0"/>
    <xf numFmtId="0" fontId="40" fillId="0" borderId="25" applyNumberFormat="0" applyFill="0" applyAlignment="0" applyProtection="0"/>
    <xf numFmtId="0" fontId="40" fillId="0" borderId="25" applyNumberFormat="0" applyFill="0" applyAlignment="0" applyProtection="0"/>
    <xf numFmtId="0" fontId="65" fillId="0" borderId="26" applyNumberFormat="0" applyFill="0" applyAlignment="0" applyProtection="0"/>
    <xf numFmtId="0" fontId="41" fillId="0" borderId="26" applyNumberFormat="0" applyFill="0" applyAlignment="0" applyProtection="0"/>
    <xf numFmtId="0" fontId="41" fillId="0" borderId="26" applyNumberFormat="0" applyFill="0" applyAlignment="0" applyProtection="0"/>
    <xf numFmtId="0" fontId="66" fillId="0" borderId="39"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66"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29" borderId="22" applyNumberFormat="0" applyAlignment="0" applyProtection="0"/>
    <xf numFmtId="10" fontId="15" fillId="7" borderId="16" applyNumberFormat="0" applyBorder="0" applyAlignment="0" applyProtection="0"/>
    <xf numFmtId="0" fontId="16" fillId="0" borderId="0" applyBorder="0"/>
    <xf numFmtId="0" fontId="62" fillId="28" borderId="24"/>
    <xf numFmtId="0" fontId="49" fillId="0" borderId="29" applyNumberFormat="0" applyFill="0" applyAlignment="0" applyProtection="0"/>
    <xf numFmtId="0" fontId="49" fillId="0" borderId="29" applyNumberFormat="0" applyFill="0" applyAlignment="0" applyProtection="0"/>
    <xf numFmtId="0" fontId="51" fillId="29" borderId="0" applyNumberFormat="0" applyBorder="0" applyAlignment="0" applyProtection="0"/>
    <xf numFmtId="0" fontId="51" fillId="29" borderId="0" applyNumberFormat="0" applyBorder="0" applyAlignment="0" applyProtection="0"/>
    <xf numFmtId="0" fontId="22" fillId="36" borderId="40">
      <alignment vertical="center"/>
    </xf>
    <xf numFmtId="0" fontId="2" fillId="0" borderId="0"/>
    <xf numFmtId="0" fontId="4" fillId="0" borderId="0">
      <alignment vertical="top"/>
    </xf>
    <xf numFmtId="0" fontId="11" fillId="0" borderId="0"/>
    <xf numFmtId="0" fontId="4" fillId="0" borderId="0">
      <alignment vertical="top"/>
    </xf>
    <xf numFmtId="0" fontId="2" fillId="0" borderId="0"/>
    <xf numFmtId="0" fontId="11" fillId="0" borderId="0"/>
    <xf numFmtId="0" fontId="2" fillId="0" borderId="0"/>
    <xf numFmtId="0" fontId="4" fillId="0" borderId="0"/>
    <xf numFmtId="0" fontId="2" fillId="0" borderId="0">
      <alignment vertical="top"/>
    </xf>
    <xf numFmtId="0" fontId="2" fillId="0" borderId="0" applyNumberFormat="0" applyFont="0" applyFill="0" applyBorder="0" applyAlignment="0" applyProtection="0"/>
    <xf numFmtId="0" fontId="4"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4" fillId="0" borderId="0"/>
    <xf numFmtId="0" fontId="4" fillId="0" borderId="0">
      <alignment vertical="top"/>
    </xf>
    <xf numFmtId="0" fontId="31" fillId="31" borderId="31" applyNumberFormat="0" applyFont="0" applyAlignment="0" applyProtection="0"/>
    <xf numFmtId="0" fontId="31" fillId="31" borderId="31" applyNumberFormat="0" applyFont="0" applyAlignment="0" applyProtection="0"/>
    <xf numFmtId="0" fontId="2" fillId="31" borderId="31" applyNumberFormat="0" applyFont="0" applyAlignment="0" applyProtection="0"/>
    <xf numFmtId="0" fontId="79" fillId="0" borderId="0">
      <alignment wrapText="1"/>
    </xf>
    <xf numFmtId="0" fontId="54" fillId="35" borderId="32" applyNumberFormat="0" applyAlignment="0" applyProtection="0"/>
    <xf numFmtId="0" fontId="54" fillId="26" borderId="32" applyNumberFormat="0" applyAlignment="0" applyProtection="0"/>
    <xf numFmtId="0" fontId="54" fillId="26" borderId="32" applyNumberFormat="0" applyAlignment="0" applyProtection="0"/>
    <xf numFmtId="220" fontId="7" fillId="35" borderId="0">
      <alignment horizontal="right"/>
    </xf>
    <xf numFmtId="40" fontId="25" fillId="36" borderId="0">
      <alignment horizontal="right"/>
    </xf>
    <xf numFmtId="40" fontId="25" fillId="36" borderId="0">
      <alignment horizontal="right"/>
    </xf>
    <xf numFmtId="0" fontId="80" fillId="28" borderId="0">
      <alignment horizontal="center"/>
    </xf>
    <xf numFmtId="0" fontId="81" fillId="36" borderId="0">
      <alignment horizontal="right"/>
    </xf>
    <xf numFmtId="0" fontId="81" fillId="36" borderId="0">
      <alignment horizontal="right"/>
    </xf>
    <xf numFmtId="0" fontId="82" fillId="37" borderId="11"/>
    <xf numFmtId="0" fontId="83" fillId="36" borderId="11"/>
    <xf numFmtId="0" fontId="83" fillId="36" borderId="11"/>
    <xf numFmtId="0" fontId="84" fillId="35" borderId="0" applyBorder="0">
      <alignment horizontal="centerContinuous"/>
    </xf>
    <xf numFmtId="0" fontId="83" fillId="0" borderId="0" applyBorder="0">
      <alignment horizontal="centerContinuous"/>
    </xf>
    <xf numFmtId="0" fontId="83" fillId="0" borderId="0" applyBorder="0">
      <alignment horizontal="centerContinuous"/>
    </xf>
    <xf numFmtId="0" fontId="85" fillId="37" borderId="0" applyBorder="0">
      <alignment horizontal="centerContinuous"/>
    </xf>
    <xf numFmtId="0" fontId="86" fillId="0" borderId="0" applyBorder="0">
      <alignment horizontal="centerContinuous"/>
    </xf>
    <xf numFmtId="0" fontId="86" fillId="0" borderId="0" applyBorder="0">
      <alignment horizontal="centerContinuous"/>
    </xf>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0" fillId="0" borderId="0" applyNumberFormat="0" applyFont="0" applyFill="0" applyBorder="0" applyAlignment="0" applyProtection="0">
      <alignment horizontal="left"/>
    </xf>
    <xf numFmtId="0" fontId="16" fillId="0" borderId="0"/>
    <xf numFmtId="218" fontId="87" fillId="0" borderId="0" applyNumberFormat="0" applyFill="0" applyBorder="0" applyAlignment="0" applyProtection="0">
      <alignment horizontal="left"/>
    </xf>
    <xf numFmtId="44" fontId="2" fillId="0" borderId="0" applyFont="0" applyFill="0" applyBorder="0" applyAlignment="0" applyProtection="0"/>
    <xf numFmtId="4" fontId="88" fillId="0" borderId="41" applyNumberFormat="0" applyProtection="0">
      <alignment horizontal="right" vertical="center"/>
    </xf>
    <xf numFmtId="0" fontId="4" fillId="0" borderId="0"/>
    <xf numFmtId="40" fontId="89" fillId="0" borderId="0" applyBorder="0">
      <alignment horizontal="right"/>
    </xf>
    <xf numFmtId="0" fontId="16" fillId="0" borderId="24"/>
    <xf numFmtId="0" fontId="67" fillId="0" borderId="0" applyNumberFormat="0" applyFill="0" applyBorder="0" applyAlignment="0" applyProtection="0"/>
    <xf numFmtId="0" fontId="63" fillId="32" borderId="0"/>
    <xf numFmtId="0" fontId="58" fillId="0" borderId="42" applyNumberFormat="0" applyFill="0" applyAlignment="0" applyProtection="0"/>
    <xf numFmtId="0" fontId="58" fillId="0" borderId="35" applyNumberFormat="0" applyFill="0" applyAlignment="0" applyProtection="0"/>
    <xf numFmtId="0" fontId="58" fillId="0" borderId="35" applyNumberFormat="0" applyFill="0" applyAlignment="0" applyProtection="0"/>
    <xf numFmtId="0" fontId="62" fillId="0" borderId="36"/>
    <xf numFmtId="0" fontId="62" fillId="0" borderId="24"/>
    <xf numFmtId="164" fontId="2" fillId="0" borderId="0" applyFont="0" applyFill="0" applyBorder="0" applyAlignment="0" applyProtection="0"/>
    <xf numFmtId="165" fontId="2" fillId="0" borderId="0" applyFont="0" applyFill="0" applyBorder="0" applyAlignment="0" applyProtection="0"/>
    <xf numFmtId="0" fontId="12" fillId="6" borderId="0" applyFont="0" applyFill="0">
      <alignment horizontal="center"/>
    </xf>
    <xf numFmtId="181" fontId="2" fillId="0" borderId="0" applyFont="0" applyFill="0" applyBorder="0" applyAlignment="0" applyProtection="0"/>
    <xf numFmtId="221" fontId="2"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172" fontId="2" fillId="0" borderId="0" applyFont="0" applyFill="0" applyBorder="0" applyAlignment="0" applyProtection="0"/>
    <xf numFmtId="222" fontId="2" fillId="0" borderId="0" applyFont="0" applyFill="0" applyBorder="0" applyAlignment="0" applyProtection="0"/>
    <xf numFmtId="0" fontId="2" fillId="0" borderId="0"/>
    <xf numFmtId="44" fontId="2" fillId="0" borderId="0" applyFont="0" applyFill="0" applyBorder="0" applyAlignment="0" applyProtection="0"/>
    <xf numFmtId="42" fontId="2" fillId="0" borderId="0" applyFont="0" applyFill="0" applyBorder="0" applyAlignment="0" applyProtection="0"/>
    <xf numFmtId="20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xf numFmtId="49" fontId="2" fillId="0" borderId="0" applyNumberFormat="0" applyFont="0" applyFill="0" applyBorder="0" applyAlignment="0" applyProtection="0"/>
    <xf numFmtId="49" fontId="2" fillId="0" borderId="0" applyNumberFormat="0" applyFont="0" applyFill="0" applyBorder="0" applyAlignment="0" applyProtection="0"/>
    <xf numFmtId="0" fontId="91" fillId="0" borderId="0">
      <alignment horizontal="centerContinuous"/>
    </xf>
    <xf numFmtId="0" fontId="92" fillId="0" borderId="0" applyNumberFormat="0" applyFill="0" applyBorder="0" applyAlignment="0" applyProtection="0"/>
    <xf numFmtId="188" fontId="2" fillId="0" borderId="0" applyFill="0" applyBorder="0" applyAlignment="0"/>
    <xf numFmtId="187" fontId="2" fillId="0" borderId="0" applyFill="0" applyBorder="0" applyAlignment="0"/>
    <xf numFmtId="188" fontId="2" fillId="0" borderId="0" applyFill="0" applyBorder="0" applyAlignment="0"/>
    <xf numFmtId="43" fontId="2" fillId="0" borderId="0" applyFont="0" applyFill="0" applyBorder="0" applyAlignment="0" applyProtection="0"/>
    <xf numFmtId="43" fontId="93"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94" fillId="0" borderId="0" applyFont="0" applyFill="0" applyBorder="0" applyAlignment="0" applyProtection="0"/>
    <xf numFmtId="189" fontId="2" fillId="0" borderId="0" applyFill="0" applyBorder="0" applyProtection="0">
      <alignment vertical="top"/>
    </xf>
    <xf numFmtId="43"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226" fontId="95" fillId="0" borderId="0">
      <protection locked="0"/>
    </xf>
    <xf numFmtId="225" fontId="6" fillId="0" borderId="0"/>
    <xf numFmtId="188" fontId="2" fillId="0" borderId="0" applyFill="0" applyBorder="0" applyAlignment="0"/>
    <xf numFmtId="224" fontId="2" fillId="0" borderId="0">
      <protection locked="0"/>
    </xf>
    <xf numFmtId="224" fontId="2" fillId="0" borderId="0">
      <protection locked="0"/>
    </xf>
    <xf numFmtId="0" fontId="90" fillId="0" borderId="0" applyNumberFormat="0" applyFill="0" applyBorder="0" applyAlignment="0" applyProtection="0">
      <alignment vertical="top"/>
      <protection locked="0"/>
    </xf>
    <xf numFmtId="188" fontId="2" fillId="0" borderId="0" applyFill="0" applyBorder="0" applyAlignment="0"/>
    <xf numFmtId="42" fontId="2" fillId="0" borderId="0" applyFont="0" applyFill="0" applyBorder="0" applyAlignment="0" applyProtection="0"/>
    <xf numFmtId="44" fontId="2" fillId="0" borderId="0" applyFont="0" applyFill="0" applyBorder="0" applyAlignment="0" applyProtection="0"/>
    <xf numFmtId="0" fontId="4" fillId="0" borderId="0"/>
    <xf numFmtId="0" fontId="24" fillId="0" borderId="0"/>
    <xf numFmtId="0" fontId="31" fillId="0" borderId="0"/>
    <xf numFmtId="0" fontId="2" fillId="0" borderId="0">
      <alignment vertical="top"/>
    </xf>
    <xf numFmtId="0" fontId="4" fillId="0" borderId="0">
      <alignment vertical="top"/>
    </xf>
    <xf numFmtId="0" fontId="2" fillId="0" borderId="0" applyNumberFormat="0" applyFont="0" applyFill="0" applyBorder="0" applyAlignment="0" applyProtection="0"/>
    <xf numFmtId="0" fontId="24" fillId="0" borderId="0"/>
    <xf numFmtId="0" fontId="2" fillId="0" borderId="0">
      <alignment vertical="top"/>
    </xf>
    <xf numFmtId="0" fontId="24" fillId="0" borderId="0"/>
    <xf numFmtId="0" fontId="2" fillId="0" borderId="0"/>
    <xf numFmtId="0" fontId="24" fillId="0" borderId="0"/>
    <xf numFmtId="0" fontId="24" fillId="0" borderId="0"/>
    <xf numFmtId="0" fontId="16" fillId="0" borderId="61"/>
    <xf numFmtId="9" fontId="2" fillId="0" borderId="0" applyFill="0" applyBorder="0" applyProtection="0">
      <alignment vertical="top"/>
    </xf>
    <xf numFmtId="9" fontId="31" fillId="0" borderId="0" applyFont="0" applyFill="0" applyBorder="0" applyAlignment="0" applyProtection="0"/>
    <xf numFmtId="188" fontId="2" fillId="0" borderId="0" applyFill="0" applyBorder="0" applyAlignment="0"/>
    <xf numFmtId="14" fontId="96" fillId="0" borderId="0" applyNumberFormat="0" applyFill="0" applyBorder="0" applyAlignment="0" applyProtection="0">
      <alignment horizontal="left"/>
    </xf>
    <xf numFmtId="0" fontId="2" fillId="0" borderId="0"/>
    <xf numFmtId="0" fontId="2" fillId="0" borderId="0"/>
    <xf numFmtId="40" fontId="97" fillId="0" borderId="0" applyBorder="0">
      <alignment horizontal="right"/>
    </xf>
    <xf numFmtId="188" fontId="2" fillId="0" borderId="0" applyFill="0" applyBorder="0" applyAlignment="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43" fontId="2" fillId="0" borderId="0" applyFont="0" applyFill="0" applyBorder="0" applyAlignment="0" applyProtection="0"/>
    <xf numFmtId="0" fontId="2" fillId="0" borderId="0" applyNumberFormat="0" applyFont="0" applyFill="0" applyBorder="0" applyAlignment="0" applyProtection="0"/>
    <xf numFmtId="0" fontId="10" fillId="0" borderId="0"/>
    <xf numFmtId="43" fontId="10" fillId="0" borderId="0" applyFont="0" applyFill="0" applyBorder="0" applyAlignment="0" applyProtection="0"/>
    <xf numFmtId="0" fontId="2" fillId="0" borderId="0"/>
    <xf numFmtId="0" fontId="24" fillId="0" borderId="0"/>
    <xf numFmtId="0" fontId="10"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43" fontId="2" fillId="0" borderId="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10" fillId="0" borderId="0"/>
    <xf numFmtId="43" fontId="10"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2" fillId="0" borderId="0" applyFont="0" applyFill="0" applyBorder="0" applyAlignment="0" applyProtection="0"/>
    <xf numFmtId="0" fontId="4" fillId="0" borderId="0"/>
    <xf numFmtId="43" fontId="4" fillId="0" borderId="0" applyFont="0" applyFill="0" applyBorder="0" applyAlignment="0" applyProtection="0"/>
    <xf numFmtId="0" fontId="4" fillId="0" borderId="0">
      <protection locked="0"/>
    </xf>
    <xf numFmtId="0" fontId="62" fillId="0" borderId="52"/>
    <xf numFmtId="0" fontId="58" fillId="0" borderId="55" applyNumberFormat="0" applyFill="0" applyAlignment="0" applyProtection="0"/>
    <xf numFmtId="0" fontId="58" fillId="0" borderId="57" applyNumberFormat="0" applyFill="0" applyAlignment="0" applyProtection="0"/>
    <xf numFmtId="4" fontId="88" fillId="0" borderId="56" applyNumberFormat="0" applyProtection="0">
      <alignment horizontal="right" vertical="center"/>
    </xf>
    <xf numFmtId="0" fontId="43" fillId="13" borderId="60" applyNumberFormat="0" applyAlignment="0" applyProtection="0"/>
    <xf numFmtId="0" fontId="43" fillId="13" borderId="60" applyNumberFormat="0" applyAlignment="0" applyProtection="0"/>
    <xf numFmtId="0" fontId="43" fillId="13" borderId="60" applyNumberFormat="0" applyAlignment="0" applyProtection="0"/>
    <xf numFmtId="0" fontId="43" fillId="13" borderId="60" applyNumberFormat="0" applyAlignment="0" applyProtection="0"/>
    <xf numFmtId="0" fontId="43" fillId="13" borderId="60" applyNumberFormat="0" applyAlignment="0" applyProtection="0"/>
    <xf numFmtId="0" fontId="43" fillId="13" borderId="60" applyNumberFormat="0" applyAlignment="0" applyProtection="0"/>
    <xf numFmtId="0" fontId="43" fillId="13" borderId="60" applyNumberFormat="0" applyAlignment="0" applyProtection="0"/>
    <xf numFmtId="0" fontId="54" fillId="26" borderId="54" applyNumberFormat="0" applyAlignment="0" applyProtection="0"/>
    <xf numFmtId="0" fontId="54" fillId="26" borderId="54" applyNumberFormat="0" applyAlignment="0" applyProtection="0"/>
    <xf numFmtId="0" fontId="54" fillId="35" borderId="54" applyNumberFormat="0" applyAlignment="0" applyProtection="0"/>
    <xf numFmtId="0" fontId="2" fillId="31" borderId="53" applyNumberFormat="0" applyFont="0" applyAlignment="0" applyProtection="0"/>
    <xf numFmtId="0" fontId="31" fillId="31" borderId="53" applyNumberFormat="0" applyFont="0" applyAlignment="0" applyProtection="0"/>
    <xf numFmtId="0" fontId="31" fillId="31" borderId="53" applyNumberFormat="0" applyFont="0" applyAlignment="0" applyProtection="0"/>
    <xf numFmtId="0" fontId="62" fillId="28" borderId="52"/>
    <xf numFmtId="0" fontId="16" fillId="0" borderId="44"/>
    <xf numFmtId="0" fontId="16" fillId="0" borderId="44"/>
    <xf numFmtId="0" fontId="62" fillId="28" borderId="61"/>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3" fillId="13" borderId="43" applyNumberFormat="0" applyAlignment="0" applyProtection="0"/>
    <xf numFmtId="0" fontId="44" fillId="28" borderId="44"/>
    <xf numFmtId="0" fontId="44" fillId="28" borderId="44"/>
    <xf numFmtId="0" fontId="44" fillId="0" borderId="52"/>
    <xf numFmtId="0" fontId="22" fillId="0" borderId="62">
      <alignment horizontal="left" vertical="center"/>
    </xf>
    <xf numFmtId="0" fontId="22" fillId="0" borderId="62">
      <alignment horizontal="left" vertical="center"/>
    </xf>
    <xf numFmtId="0" fontId="22" fillId="0" borderId="62">
      <alignment horizontal="left" vertical="center"/>
    </xf>
    <xf numFmtId="0" fontId="43" fillId="13" borderId="60" applyNumberFormat="0" applyAlignment="0" applyProtection="0"/>
    <xf numFmtId="10" fontId="39" fillId="7" borderId="59" applyNumberFormat="0" applyBorder="0" applyAlignment="0" applyProtection="0"/>
    <xf numFmtId="0" fontId="54" fillId="26" borderId="54" applyNumberFormat="0" applyAlignment="0" applyProtection="0"/>
    <xf numFmtId="0" fontId="4" fillId="31" borderId="53" applyNumberFormat="0" applyFont="0" applyAlignment="0" applyProtection="0"/>
    <xf numFmtId="0" fontId="4" fillId="31" borderId="53" applyNumberFormat="0" applyFont="0" applyAlignment="0" applyProtection="0"/>
    <xf numFmtId="0" fontId="44" fillId="0" borderId="61"/>
    <xf numFmtId="0" fontId="4" fillId="31" borderId="45" applyNumberFormat="0" applyFont="0" applyAlignment="0" applyProtection="0"/>
    <xf numFmtId="0" fontId="4" fillId="31" borderId="45" applyNumberFormat="0" applyFont="0" applyAlignment="0" applyProtection="0"/>
    <xf numFmtId="0" fontId="4" fillId="31" borderId="45" applyNumberFormat="0" applyFont="0" applyAlignment="0" applyProtection="0"/>
    <xf numFmtId="0" fontId="54" fillId="26" borderId="46" applyNumberFormat="0" applyAlignment="0" applyProtection="0"/>
    <xf numFmtId="0" fontId="54" fillId="26" borderId="46" applyNumberFormat="0" applyAlignment="0" applyProtection="0"/>
    <xf numFmtId="0" fontId="43" fillId="13" borderId="51" applyNumberFormat="0" applyAlignment="0" applyProtection="0"/>
    <xf numFmtId="0" fontId="43" fillId="13" borderId="51" applyNumberFormat="0" applyAlignment="0" applyProtection="0"/>
    <xf numFmtId="0" fontId="34" fillId="26" borderId="51" applyNumberFormat="0" applyAlignment="0" applyProtection="0"/>
    <xf numFmtId="0" fontId="34" fillId="26" borderId="51" applyNumberFormat="0" applyAlignment="0" applyProtection="0"/>
    <xf numFmtId="0" fontId="34" fillId="26" borderId="51" applyNumberFormat="0" applyAlignment="0" applyProtection="0"/>
    <xf numFmtId="0" fontId="16" fillId="0" borderId="44"/>
    <xf numFmtId="0" fontId="16" fillId="0" borderId="44"/>
    <xf numFmtId="0" fontId="56" fillId="0" borderId="0" applyNumberFormat="0" applyFill="0" applyBorder="0" applyAlignment="0" applyProtection="0"/>
    <xf numFmtId="0" fontId="58" fillId="0" borderId="47" applyNumberFormat="0" applyFill="0" applyAlignment="0" applyProtection="0"/>
    <xf numFmtId="0" fontId="58" fillId="0" borderId="47" applyNumberFormat="0" applyFill="0" applyAlignment="0" applyProtection="0"/>
    <xf numFmtId="0" fontId="44" fillId="0" borderId="44"/>
    <xf numFmtId="0" fontId="44" fillId="0" borderId="44"/>
    <xf numFmtId="0" fontId="16" fillId="0" borderId="61"/>
    <xf numFmtId="0" fontId="16" fillId="0" borderId="61"/>
    <xf numFmtId="0" fontId="16" fillId="0" borderId="61"/>
    <xf numFmtId="0" fontId="44" fillId="0" borderId="61"/>
    <xf numFmtId="0" fontId="34" fillId="35" borderId="43" applyNumberFormat="0" applyAlignment="0" applyProtection="0"/>
    <xf numFmtId="0" fontId="34" fillId="26" borderId="43" applyNumberFormat="0" applyAlignment="0" applyProtection="0"/>
    <xf numFmtId="0" fontId="44" fillId="28" borderId="61"/>
    <xf numFmtId="0" fontId="44" fillId="28" borderId="61"/>
    <xf numFmtId="0" fontId="34" fillId="35" borderId="60" applyNumberFormat="0" applyAlignment="0" applyProtection="0"/>
    <xf numFmtId="0" fontId="34" fillId="26" borderId="60" applyNumberFormat="0" applyAlignment="0" applyProtection="0"/>
    <xf numFmtId="0" fontId="34" fillId="35" borderId="51" applyNumberFormat="0" applyAlignment="0" applyProtection="0"/>
    <xf numFmtId="0" fontId="34" fillId="26" borderId="51" applyNumberFormat="0" applyAlignment="0" applyProtection="0"/>
    <xf numFmtId="0" fontId="43" fillId="29" borderId="43" applyNumberFormat="0" applyAlignment="0" applyProtection="0"/>
    <xf numFmtId="0" fontId="62" fillId="28" borderId="44"/>
    <xf numFmtId="0" fontId="56" fillId="0" borderId="0" applyNumberFormat="0" applyFill="0" applyBorder="0" applyAlignment="0" applyProtection="0"/>
    <xf numFmtId="0" fontId="31" fillId="31" borderId="45" applyNumberFormat="0" applyFont="0" applyAlignment="0" applyProtection="0"/>
    <xf numFmtId="0" fontId="31" fillId="31" borderId="45" applyNumberFormat="0" applyFont="0" applyAlignment="0" applyProtection="0"/>
    <xf numFmtId="0" fontId="2" fillId="31" borderId="45" applyNumberFormat="0" applyFont="0" applyAlignment="0" applyProtection="0"/>
    <xf numFmtId="0" fontId="54" fillId="35" borderId="46" applyNumberFormat="0" applyAlignment="0" applyProtection="0"/>
    <xf numFmtId="0" fontId="54" fillId="26" borderId="46" applyNumberFormat="0" applyAlignment="0" applyProtection="0"/>
    <xf numFmtId="0" fontId="54" fillId="26" borderId="46" applyNumberFormat="0" applyAlignment="0" applyProtection="0"/>
    <xf numFmtId="0" fontId="44" fillId="28" borderId="52"/>
    <xf numFmtId="0" fontId="44" fillId="28" borderId="52"/>
    <xf numFmtId="0" fontId="43" fillId="13" borderId="51" applyNumberFormat="0" applyAlignment="0" applyProtection="0"/>
    <xf numFmtId="0" fontId="43" fillId="13" borderId="51" applyNumberFormat="0" applyAlignment="0" applyProtection="0"/>
    <xf numFmtId="0" fontId="43" fillId="13" borderId="51" applyNumberFormat="0" applyAlignment="0" applyProtection="0"/>
    <xf numFmtId="0" fontId="43" fillId="13" borderId="51" applyNumberFormat="0" applyAlignment="0" applyProtection="0"/>
    <xf numFmtId="0" fontId="43" fillId="13" borderId="51" applyNumberFormat="0" applyAlignment="0" applyProtection="0"/>
    <xf numFmtId="0" fontId="43" fillId="13" borderId="51" applyNumberFormat="0" applyAlignment="0" applyProtection="0"/>
    <xf numFmtId="4" fontId="88" fillId="0" borderId="48" applyNumberFormat="0" applyProtection="0">
      <alignment horizontal="right" vertical="center"/>
    </xf>
    <xf numFmtId="0" fontId="16" fillId="0" borderId="44"/>
    <xf numFmtId="0" fontId="58" fillId="0" borderId="49" applyNumberFormat="0" applyFill="0" applyAlignment="0" applyProtection="0"/>
    <xf numFmtId="0" fontId="58" fillId="0" borderId="47" applyNumberFormat="0" applyFill="0" applyAlignment="0" applyProtection="0"/>
    <xf numFmtId="0" fontId="58" fillId="0" borderId="47" applyNumberFormat="0" applyFill="0" applyAlignment="0" applyProtection="0"/>
    <xf numFmtId="0" fontId="62" fillId="0" borderId="44"/>
    <xf numFmtId="0" fontId="4" fillId="0" borderId="0"/>
    <xf numFmtId="0" fontId="58" fillId="0" borderId="55" applyNumberFormat="0" applyFill="0" applyAlignment="0" applyProtection="0"/>
    <xf numFmtId="0" fontId="43" fillId="13" borderId="51" applyNumberFormat="0" applyAlignment="0" applyProtection="0"/>
    <xf numFmtId="203" fontId="4" fillId="0" borderId="0" applyFont="0" applyFill="0" applyBorder="0" applyProtection="0"/>
    <xf numFmtId="37" fontId="30" fillId="0" borderId="50" applyNumberFormat="0" applyFont="0" applyBorder="0" applyAlignment="0" applyProtection="0">
      <alignment horizontal="centerContinuous"/>
    </xf>
    <xf numFmtId="10" fontId="39" fillId="7" borderId="59" applyNumberFormat="0" applyBorder="0" applyAlignment="0" applyProtection="0"/>
    <xf numFmtId="10" fontId="39" fillId="7" borderId="59" applyNumberFormat="0" applyBorder="0" applyAlignment="0" applyProtection="0"/>
    <xf numFmtId="0" fontId="54" fillId="26" borderId="54" applyNumberFormat="0" applyAlignment="0" applyProtection="0"/>
    <xf numFmtId="0" fontId="4" fillId="31" borderId="53" applyNumberFormat="0" applyFont="0" applyAlignment="0" applyProtection="0"/>
    <xf numFmtId="37" fontId="30" fillId="0" borderId="58" applyNumberFormat="0" applyFont="0" applyBorder="0" applyAlignment="0" applyProtection="0">
      <alignment horizontal="centerContinuous"/>
    </xf>
    <xf numFmtId="0" fontId="43" fillId="13" borderId="60" applyNumberFormat="0" applyAlignment="0" applyProtection="0"/>
    <xf numFmtId="218" fontId="70" fillId="0" borderId="59" applyFont="0" applyFill="0" applyBorder="0" applyAlignment="0" applyProtection="0"/>
    <xf numFmtId="0" fontId="43" fillId="29" borderId="60" applyNumberFormat="0" applyAlignment="0" applyProtection="0"/>
    <xf numFmtId="0" fontId="62" fillId="0" borderId="61"/>
    <xf numFmtId="0" fontId="16" fillId="0" borderId="52"/>
    <xf numFmtId="0" fontId="4" fillId="0" borderId="0"/>
    <xf numFmtId="0" fontId="58" fillId="0" borderId="55" applyNumberFormat="0" applyFill="0" applyAlignment="0" applyProtection="0"/>
    <xf numFmtId="0" fontId="16" fillId="0" borderId="52"/>
    <xf numFmtId="0" fontId="16" fillId="0" borderId="52"/>
    <xf numFmtId="0" fontId="34" fillId="26" borderId="60" applyNumberFormat="0" applyAlignment="0" applyProtection="0"/>
    <xf numFmtId="0" fontId="34" fillId="26" borderId="60" applyNumberFormat="0" applyAlignment="0" applyProtection="0"/>
    <xf numFmtId="0" fontId="34" fillId="26" borderId="60" applyNumberFormat="0" applyAlignment="0" applyProtection="0"/>
    <xf numFmtId="203" fontId="4" fillId="0" borderId="0" applyFont="0" applyFill="0" applyBorder="0" applyProtection="0"/>
    <xf numFmtId="0" fontId="16" fillId="0" borderId="52"/>
    <xf numFmtId="0" fontId="16" fillId="0" borderId="52"/>
    <xf numFmtId="10" fontId="15" fillId="7" borderId="59" applyNumberFormat="0" applyBorder="0" applyAlignment="0" applyProtection="0"/>
    <xf numFmtId="0" fontId="16" fillId="0" borderId="61"/>
    <xf numFmtId="0" fontId="44" fillId="0" borderId="52"/>
    <xf numFmtId="0" fontId="43" fillId="29" borderId="51" applyNumberFormat="0" applyAlignment="0" applyProtection="0"/>
    <xf numFmtId="0" fontId="58" fillId="0" borderId="55" applyNumberFormat="0" applyFill="0" applyAlignment="0" applyProtection="0"/>
    <xf numFmtId="0" fontId="4" fillId="0" borderId="0">
      <protection locked="0"/>
    </xf>
    <xf numFmtId="0" fontId="4" fillId="0" borderId="0"/>
    <xf numFmtId="203" fontId="4" fillId="0" borderId="0" applyFont="0" applyFill="0" applyBorder="0" applyProtection="0"/>
    <xf numFmtId="43" fontId="4"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0" fontId="4" fillId="0" borderId="0"/>
    <xf numFmtId="0" fontId="2" fillId="0" borderId="0"/>
    <xf numFmtId="0" fontId="4" fillId="0" borderId="0"/>
    <xf numFmtId="43" fontId="2" fillId="0" borderId="0" applyFont="0" applyFill="0" applyBorder="0" applyAlignment="0" applyProtection="0"/>
    <xf numFmtId="42" fontId="7" fillId="0" borderId="0"/>
    <xf numFmtId="0" fontId="2" fillId="0" borderId="0" applyNumberFormat="0" applyFont="0" applyFill="0" applyBorder="0" applyAlignment="0" applyProtection="0"/>
    <xf numFmtId="0" fontId="2" fillId="0" borderId="0" applyFont="0" applyFill="0" applyBorder="0" applyAlignment="0" applyProtection="0"/>
    <xf numFmtId="0" fontId="25" fillId="0" borderId="0">
      <protection locked="0"/>
    </xf>
    <xf numFmtId="0" fontId="2" fillId="0" borderId="0">
      <alignment vertical="top"/>
    </xf>
    <xf numFmtId="0" fontId="4" fillId="0" borderId="0"/>
    <xf numFmtId="43" fontId="4" fillId="0" borderId="0" applyFont="0" applyFill="0" applyBorder="0" applyAlignment="0" applyProtection="0"/>
    <xf numFmtId="0" fontId="5" fillId="0" borderId="0">
      <alignment vertical="top"/>
    </xf>
    <xf numFmtId="0" fontId="4" fillId="0" borderId="0">
      <protection locked="0"/>
    </xf>
    <xf numFmtId="227" fontId="2" fillId="0" borderId="0" applyFont="0" applyFill="0" applyBorder="0" applyAlignment="0" applyProtection="0"/>
    <xf numFmtId="203" fontId="2" fillId="0" borderId="0" applyFont="0" applyFill="0" applyBorder="0" applyProtection="0"/>
    <xf numFmtId="43" fontId="18" fillId="0" borderId="0" applyFont="0" applyFill="0" applyBorder="0" applyAlignment="0" applyProtection="0"/>
    <xf numFmtId="0" fontId="4" fillId="0" borderId="0">
      <protection locked="0"/>
    </xf>
    <xf numFmtId="43" fontId="4" fillId="0" borderId="0" applyFont="0" applyFill="0" applyBorder="0" applyAlignment="0" applyProtection="0"/>
    <xf numFmtId="227" fontId="4" fillId="0" borderId="0" applyFont="0" applyFill="0" applyBorder="0" applyAlignment="0" applyProtection="0"/>
    <xf numFmtId="37" fontId="21" fillId="0" borderId="0"/>
    <xf numFmtId="43" fontId="2" fillId="0" borderId="0" applyFont="0" applyFill="0" applyBorder="0" applyAlignment="0" applyProtection="0"/>
    <xf numFmtId="19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0" fontId="5" fillId="0" borderId="0">
      <protection locked="0"/>
    </xf>
    <xf numFmtId="227" fontId="2" fillId="0" borderId="0" applyFont="0" applyFill="0" applyBorder="0" applyAlignment="0" applyProtection="0"/>
    <xf numFmtId="0" fontId="4" fillId="0" borderId="0">
      <protection locked="0"/>
    </xf>
    <xf numFmtId="0" fontId="10" fillId="0" borderId="0"/>
    <xf numFmtId="0" fontId="10" fillId="0" borderId="0"/>
    <xf numFmtId="43" fontId="2" fillId="0" borderId="0" applyFont="0" applyFill="0" applyBorder="0" applyAlignment="0" applyProtection="0"/>
    <xf numFmtId="0" fontId="4" fillId="0" borderId="0">
      <protection locked="0"/>
    </xf>
    <xf numFmtId="0" fontId="4" fillId="0" borderId="0">
      <protection locked="0"/>
    </xf>
    <xf numFmtId="0" fontId="4" fillId="0" borderId="0">
      <protection locked="0"/>
    </xf>
    <xf numFmtId="43" fontId="4" fillId="0" borderId="0" applyFont="0" applyFill="0" applyBorder="0" applyAlignment="0" applyProtection="0"/>
    <xf numFmtId="0" fontId="10" fillId="0" borderId="0"/>
    <xf numFmtId="9" fontId="6"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4" fillId="0" borderId="0" applyFont="0" applyFill="0" applyBorder="0" applyAlignment="0" applyProtection="0"/>
    <xf numFmtId="0" fontId="4" fillId="0" borderId="0">
      <alignment vertical="top"/>
    </xf>
    <xf numFmtId="0" fontId="24" fillId="0" borderId="0"/>
    <xf numFmtId="0" fontId="2" fillId="0" borderId="0"/>
    <xf numFmtId="0" fontId="25" fillId="0" borderId="0">
      <protection locked="0"/>
    </xf>
    <xf numFmtId="43" fontId="18"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xf numFmtId="203" fontId="4" fillId="0" borderId="0" applyFont="0" applyFill="0" applyBorder="0" applyProtection="0"/>
    <xf numFmtId="43" fontId="4" fillId="0" borderId="0" applyFont="0" applyFill="0" applyBorder="0" applyAlignment="0" applyProtection="0"/>
    <xf numFmtId="0" fontId="10" fillId="0" borderId="0"/>
    <xf numFmtId="190" fontId="2" fillId="0" borderId="0" applyFont="0" applyFill="0" applyBorder="0" applyAlignment="0" applyProtection="0"/>
    <xf numFmtId="0" fontId="25" fillId="0" borderId="0">
      <protection locked="0"/>
    </xf>
    <xf numFmtId="43" fontId="2" fillId="0" borderId="0" applyFont="0" applyFill="0" applyBorder="0" applyAlignment="0" applyProtection="0"/>
    <xf numFmtId="0" fontId="2" fillId="0" borderId="0"/>
    <xf numFmtId="0" fontId="25" fillId="0" borderId="0">
      <protection locked="0"/>
    </xf>
    <xf numFmtId="0" fontId="2" fillId="0" borderId="0"/>
    <xf numFmtId="0" fontId="2" fillId="0" borderId="0"/>
    <xf numFmtId="0" fontId="2" fillId="0" borderId="0"/>
    <xf numFmtId="0" fontId="4" fillId="0" borderId="0">
      <protection locked="0"/>
    </xf>
    <xf numFmtId="203" fontId="4" fillId="0" borderId="0" applyFont="0" applyFill="0" applyBorder="0" applyProtection="0"/>
    <xf numFmtId="0" fontId="10" fillId="0" borderId="0"/>
    <xf numFmtId="43" fontId="10" fillId="0" borderId="0" applyFont="0" applyFill="0" applyBorder="0" applyAlignment="0" applyProtection="0"/>
    <xf numFmtId="0" fontId="4" fillId="0" borderId="0"/>
    <xf numFmtId="43" fontId="2" fillId="0" borderId="0" applyFont="0" applyFill="0" applyBorder="0" applyAlignment="0" applyProtection="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applyFont="0" applyFill="0" applyBorder="0" applyAlignment="0" applyProtection="0"/>
    <xf numFmtId="0" fontId="10" fillId="0" borderId="0"/>
    <xf numFmtId="0" fontId="2" fillId="0" borderId="0"/>
    <xf numFmtId="43" fontId="2" fillId="0" borderId="0" applyFont="0" applyFill="0" applyBorder="0" applyAlignment="0" applyProtection="0"/>
    <xf numFmtId="0" fontId="4" fillId="0" borderId="0"/>
    <xf numFmtId="167" fontId="4" fillId="0" borderId="0"/>
    <xf numFmtId="0" fontId="2" fillId="0" borderId="0" applyFont="0" applyFill="0" applyBorder="0" applyAlignment="0" applyProtection="0"/>
    <xf numFmtId="43" fontId="2" fillId="0" borderId="0" applyFont="0" applyFill="0" applyBorder="0" applyAlignment="0" applyProtection="0"/>
    <xf numFmtId="42" fontId="7" fillId="0" borderId="0"/>
    <xf numFmtId="0" fontId="2" fillId="0" borderId="0"/>
    <xf numFmtId="43" fontId="10" fillId="0" borderId="0" applyFont="0" applyFill="0" applyBorder="0" applyAlignment="0" applyProtection="0"/>
    <xf numFmtId="0" fontId="2" fillId="0" borderId="0"/>
    <xf numFmtId="43" fontId="4" fillId="0" borderId="0" applyFont="0" applyFill="0" applyBorder="0" applyAlignment="0" applyProtection="0"/>
    <xf numFmtId="43" fontId="4" fillId="0" borderId="0" applyFont="0" applyFill="0" applyBorder="0" applyAlignment="0" applyProtection="0"/>
    <xf numFmtId="0" fontId="10" fillId="0" borderId="0"/>
    <xf numFmtId="43" fontId="17" fillId="0" borderId="0" applyFont="0" applyFill="0" applyBorder="0" applyAlignment="0" applyProtection="0"/>
    <xf numFmtId="0" fontId="4" fillId="0" borderId="0"/>
    <xf numFmtId="170" fontId="4" fillId="0" borderId="0"/>
    <xf numFmtId="170" fontId="7" fillId="0" borderId="0">
      <alignment vertical="top"/>
    </xf>
    <xf numFmtId="43" fontId="4" fillId="0" borderId="0" applyFont="0" applyFill="0" applyBorder="0" applyAlignment="0" applyProtection="0"/>
    <xf numFmtId="0" fontId="4" fillId="0" borderId="0"/>
    <xf numFmtId="190"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43" fontId="10" fillId="0" borderId="0" applyFont="0" applyFill="0" applyBorder="0" applyAlignment="0" applyProtection="0"/>
    <xf numFmtId="0" fontId="4" fillId="0" borderId="0"/>
    <xf numFmtId="0" fontId="4" fillId="0" borderId="0"/>
    <xf numFmtId="0" fontId="2" fillId="0" borderId="0"/>
    <xf numFmtId="0" fontId="2" fillId="0" borderId="0"/>
    <xf numFmtId="43" fontId="18" fillId="0" borderId="0" applyFont="0" applyFill="0" applyBorder="0" applyAlignment="0" applyProtection="0"/>
    <xf numFmtId="203" fontId="4" fillId="0" borderId="0" applyFont="0" applyFill="0" applyBorder="0" applyProtection="0"/>
    <xf numFmtId="43" fontId="2" fillId="0" borderId="0" applyFont="0" applyFill="0" applyBorder="0" applyAlignment="0" applyProtection="0"/>
    <xf numFmtId="43" fontId="31" fillId="0" borderId="0" applyFont="0" applyFill="0" applyBorder="0" applyAlignment="0" applyProtection="0"/>
    <xf numFmtId="189" fontId="2" fillId="0" borderId="0" applyFill="0" applyBorder="0" applyAlignment="0" applyProtection="0"/>
    <xf numFmtId="0" fontId="7" fillId="0" borderId="0">
      <alignment vertical="top"/>
    </xf>
    <xf numFmtId="0" fontId="4" fillId="0" borderId="0"/>
    <xf numFmtId="0" fontId="2" fillId="0" borderId="0"/>
    <xf numFmtId="0" fontId="4" fillId="0" borderId="0"/>
    <xf numFmtId="190" fontId="2" fillId="0" borderId="0" applyFont="0" applyFill="0" applyBorder="0" applyAlignment="0" applyProtection="0"/>
    <xf numFmtId="43" fontId="2" fillId="0" borderId="0" applyFont="0" applyFill="0" applyBorder="0" applyAlignment="0" applyProtection="0"/>
    <xf numFmtId="0" fontId="4" fillId="0" borderId="0">
      <protection locked="0"/>
    </xf>
    <xf numFmtId="0" fontId="105" fillId="0" borderId="0"/>
    <xf numFmtId="233" fontId="105"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199" fontId="5" fillId="0" borderId="0" applyFill="0" applyBorder="0" applyAlignment="0">
      <protection locked="0"/>
    </xf>
    <xf numFmtId="0" fontId="121" fillId="0" borderId="0"/>
    <xf numFmtId="0" fontId="5" fillId="0" borderId="0"/>
    <xf numFmtId="0" fontId="2" fillId="0" borderId="0"/>
    <xf numFmtId="0" fontId="2" fillId="0" borderId="0"/>
    <xf numFmtId="0" fontId="6" fillId="0" borderId="0"/>
    <xf numFmtId="0" fontId="4" fillId="0" borderId="0">
      <alignment vertical="top"/>
      <protection locked="0"/>
    </xf>
    <xf numFmtId="0" fontId="4" fillId="0" borderId="0"/>
    <xf numFmtId="0" fontId="4" fillId="0" borderId="0"/>
    <xf numFmtId="43" fontId="2" fillId="0" borderId="0" applyFont="0" applyFill="0" applyBorder="0" applyAlignment="0" applyProtection="0"/>
    <xf numFmtId="0" fontId="2" fillId="0" borderId="0"/>
  </cellStyleXfs>
  <cellXfs count="1211">
    <xf numFmtId="0" fontId="0" fillId="0" borderId="0" xfId="0"/>
    <xf numFmtId="0" fontId="2" fillId="0" borderId="0" xfId="2" applyFont="1" applyFill="1"/>
    <xf numFmtId="0" fontId="2" fillId="0" borderId="0" xfId="2" applyNumberFormat="1" applyFont="1" applyFill="1" applyAlignment="1"/>
    <xf numFmtId="0" fontId="2" fillId="0" borderId="0" xfId="2" applyFont="1" applyFill="1" applyAlignment="1">
      <alignment horizontal="center"/>
    </xf>
    <xf numFmtId="0" fontId="1" fillId="0" borderId="0" xfId="0" applyFont="1"/>
    <xf numFmtId="0" fontId="98" fillId="0" borderId="0" xfId="50" applyFont="1" applyFill="1" applyAlignment="1">
      <alignment vertical="top"/>
    </xf>
    <xf numFmtId="0" fontId="98" fillId="0" borderId="0" xfId="50" applyFont="1" applyFill="1" applyBorder="1" applyAlignment="1">
      <alignment vertical="top"/>
    </xf>
    <xf numFmtId="0" fontId="2" fillId="0" borderId="0" xfId="2" applyFont="1" applyFill="1"/>
    <xf numFmtId="0" fontId="99" fillId="0" borderId="0" xfId="0" applyFont="1"/>
    <xf numFmtId="49" fontId="100" fillId="0" borderId="0" xfId="0" applyNumberFormat="1" applyFont="1"/>
    <xf numFmtId="49" fontId="101" fillId="0" borderId="0" xfId="0" applyNumberFormat="1" applyFont="1"/>
    <xf numFmtId="49" fontId="102" fillId="0" borderId="0" xfId="0" applyNumberFormat="1" applyFont="1"/>
    <xf numFmtId="0" fontId="102" fillId="0" borderId="0" xfId="0" applyFont="1"/>
    <xf numFmtId="4" fontId="102" fillId="0" borderId="0" xfId="0" applyNumberFormat="1" applyFont="1"/>
    <xf numFmtId="0" fontId="0" fillId="0" borderId="72" xfId="0" applyBorder="1"/>
    <xf numFmtId="0" fontId="0" fillId="0" borderId="33" xfId="0" applyBorder="1"/>
    <xf numFmtId="43" fontId="0" fillId="0" borderId="73" xfId="0" applyNumberFormat="1" applyBorder="1"/>
    <xf numFmtId="0" fontId="0" fillId="0" borderId="74" xfId="0" applyBorder="1"/>
    <xf numFmtId="0" fontId="0" fillId="0" borderId="0" xfId="0" applyBorder="1"/>
    <xf numFmtId="166" fontId="0" fillId="0" borderId="75" xfId="46" applyNumberFormat="1" applyFont="1" applyBorder="1"/>
    <xf numFmtId="3" fontId="103" fillId="0" borderId="7" xfId="0" applyNumberFormat="1" applyFont="1" applyBorder="1"/>
    <xf numFmtId="49" fontId="104" fillId="0" borderId="0" xfId="0" applyNumberFormat="1" applyFont="1"/>
    <xf numFmtId="0" fontId="1" fillId="0" borderId="74" xfId="0" applyFont="1" applyBorder="1"/>
    <xf numFmtId="166" fontId="1" fillId="0" borderId="76" xfId="46" applyNumberFormat="1" applyFont="1" applyBorder="1"/>
    <xf numFmtId="39" fontId="102" fillId="0" borderId="0" xfId="0" applyNumberFormat="1" applyFont="1"/>
    <xf numFmtId="0" fontId="1" fillId="0" borderId="77" xfId="0" applyFont="1" applyBorder="1"/>
    <xf numFmtId="0" fontId="0" fillId="0" borderId="78" xfId="0" applyBorder="1"/>
    <xf numFmtId="166" fontId="1" fillId="0" borderId="79" xfId="46" applyNumberFormat="1" applyFont="1" applyBorder="1"/>
    <xf numFmtId="166" fontId="0" fillId="0" borderId="0" xfId="46" applyNumberFormat="1" applyFont="1"/>
    <xf numFmtId="166" fontId="1" fillId="0" borderId="7" xfId="46" applyNumberFormat="1" applyFont="1" applyBorder="1"/>
    <xf numFmtId="37" fontId="1" fillId="0" borderId="7" xfId="0" applyNumberFormat="1" applyFont="1" applyBorder="1"/>
    <xf numFmtId="166" fontId="0" fillId="0" borderId="75" xfId="0" applyNumberFormat="1" applyBorder="1"/>
    <xf numFmtId="37" fontId="0" fillId="0" borderId="75" xfId="0" applyNumberFormat="1" applyBorder="1"/>
    <xf numFmtId="43" fontId="1" fillId="0" borderId="76" xfId="0" applyNumberFormat="1" applyFont="1" applyBorder="1"/>
    <xf numFmtId="166" fontId="1" fillId="0" borderId="79" xfId="0" applyNumberFormat="1" applyFont="1" applyBorder="1"/>
    <xf numFmtId="166" fontId="0" fillId="0" borderId="0" xfId="0" applyNumberFormat="1"/>
    <xf numFmtId="0" fontId="0" fillId="0" borderId="0" xfId="0" quotePrefix="1" applyFill="1"/>
    <xf numFmtId="0" fontId="0" fillId="0" borderId="0" xfId="0" applyFill="1"/>
    <xf numFmtId="166" fontId="0" fillId="0" borderId="0" xfId="46" applyNumberFormat="1" applyFont="1" applyFill="1"/>
    <xf numFmtId="166" fontId="0" fillId="40" borderId="0" xfId="0" applyNumberFormat="1" applyFill="1"/>
    <xf numFmtId="166" fontId="0" fillId="4" borderId="0" xfId="0" applyNumberFormat="1" applyFill="1"/>
    <xf numFmtId="0" fontId="0" fillId="41" borderId="0" xfId="0" applyFill="1"/>
    <xf numFmtId="0" fontId="0" fillId="4" borderId="0" xfId="0" applyFill="1"/>
    <xf numFmtId="0" fontId="2" fillId="0" borderId="0" xfId="2" applyFont="1" applyFill="1"/>
    <xf numFmtId="0" fontId="106" fillId="0" borderId="0" xfId="1" applyNumberFormat="1" applyFont="1" applyFill="1" applyAlignment="1"/>
    <xf numFmtId="0" fontId="107" fillId="0" borderId="0" xfId="1" applyNumberFormat="1" applyFont="1" applyFill="1" applyAlignment="1"/>
    <xf numFmtId="0" fontId="107" fillId="0" borderId="0" xfId="2" applyFont="1" applyFill="1"/>
    <xf numFmtId="43" fontId="107" fillId="0" borderId="0" xfId="46" applyFont="1" applyFill="1"/>
    <xf numFmtId="49" fontId="106" fillId="0" borderId="0" xfId="2" quotePrefix="1" applyNumberFormat="1" applyFont="1" applyFill="1" applyAlignment="1" applyProtection="1">
      <alignment horizontal="center"/>
    </xf>
    <xf numFmtId="0" fontId="106" fillId="0" borderId="0" xfId="2" applyFont="1" applyFill="1" applyAlignment="1" applyProtection="1">
      <alignment horizontal="center"/>
    </xf>
    <xf numFmtId="49" fontId="107" fillId="0" borderId="0" xfId="2" quotePrefix="1" applyNumberFormat="1" applyFont="1" applyFill="1" applyAlignment="1" applyProtection="1">
      <alignment horizontal="center"/>
    </xf>
    <xf numFmtId="0" fontId="107" fillId="0" borderId="0" xfId="2" applyFont="1" applyFill="1" applyAlignment="1" applyProtection="1"/>
    <xf numFmtId="0" fontId="107" fillId="0" borderId="0" xfId="2" applyFont="1" applyFill="1" applyAlignment="1" applyProtection="1">
      <alignment horizontal="center"/>
    </xf>
    <xf numFmtId="0" fontId="107" fillId="0" borderId="0" xfId="1" applyNumberFormat="1" applyFont="1" applyFill="1" applyAlignment="1">
      <alignment horizontal="center"/>
    </xf>
    <xf numFmtId="0" fontId="106" fillId="0" borderId="0" xfId="1" applyNumberFormat="1" applyFont="1" applyFill="1" applyAlignment="1">
      <alignment horizontal="center"/>
    </xf>
    <xf numFmtId="0" fontId="107" fillId="0" borderId="0" xfId="2" applyNumberFormat="1" applyFont="1" applyFill="1" applyAlignment="1"/>
    <xf numFmtId="0" fontId="106" fillId="0" borderId="0" xfId="3" applyFont="1" applyFill="1" applyAlignment="1">
      <alignment vertical="center"/>
    </xf>
    <xf numFmtId="0" fontId="107" fillId="0" borderId="0" xfId="2" applyNumberFormat="1" applyFont="1" applyFill="1" applyAlignment="1">
      <alignment vertical="center"/>
    </xf>
    <xf numFmtId="0" fontId="107" fillId="0" borderId="0" xfId="2" applyFont="1" applyFill="1" applyAlignment="1">
      <alignment vertical="center"/>
    </xf>
    <xf numFmtId="0" fontId="107" fillId="0" borderId="0" xfId="2" applyFont="1" applyFill="1" applyAlignment="1">
      <alignment horizontal="center" vertical="center"/>
    </xf>
    <xf numFmtId="0" fontId="107" fillId="0" borderId="0" xfId="50" applyFont="1" applyFill="1" applyAlignment="1">
      <alignment horizontal="left"/>
    </xf>
    <xf numFmtId="166" fontId="106" fillId="0" borderId="65" xfId="1" applyNumberFormat="1" applyFont="1" applyFill="1" applyBorder="1" applyAlignment="1">
      <alignment vertical="center"/>
    </xf>
    <xf numFmtId="166" fontId="107" fillId="0" borderId="0" xfId="1" applyNumberFormat="1" applyFont="1" applyFill="1" applyBorder="1" applyAlignment="1">
      <alignment vertical="center"/>
    </xf>
    <xf numFmtId="166" fontId="107" fillId="0" borderId="63" xfId="1" applyNumberFormat="1" applyFont="1" applyFill="1" applyBorder="1" applyAlignment="1">
      <alignment vertical="center"/>
    </xf>
    <xf numFmtId="37" fontId="107" fillId="0" borderId="0" xfId="2" applyNumberFormat="1" applyFont="1" applyFill="1"/>
    <xf numFmtId="166" fontId="106" fillId="0" borderId="5" xfId="1" applyNumberFormat="1" applyFont="1" applyFill="1" applyBorder="1" applyAlignment="1">
      <alignment vertical="center"/>
    </xf>
    <xf numFmtId="166" fontId="107" fillId="0" borderId="5" xfId="1" applyNumberFormat="1" applyFont="1" applyFill="1" applyBorder="1" applyAlignment="1">
      <alignment vertical="center"/>
    </xf>
    <xf numFmtId="0" fontId="108" fillId="0" borderId="0" xfId="2" applyFont="1" applyFill="1"/>
    <xf numFmtId="0" fontId="107" fillId="0" borderId="0" xfId="2" applyFont="1" applyFill="1" applyAlignment="1">
      <alignment horizontal="left"/>
    </xf>
    <xf numFmtId="0" fontId="107" fillId="0" borderId="0" xfId="2" quotePrefix="1" applyFont="1" applyFill="1" applyAlignment="1">
      <alignment horizontal="center" vertical="center"/>
    </xf>
    <xf numFmtId="43" fontId="107" fillId="0" borderId="0" xfId="2" applyNumberFormat="1" applyFont="1" applyFill="1"/>
    <xf numFmtId="0" fontId="107" fillId="0" borderId="0" xfId="2" applyFont="1" applyFill="1" applyAlignment="1"/>
    <xf numFmtId="166" fontId="106" fillId="0" borderId="6" xfId="1" applyNumberFormat="1" applyFont="1" applyFill="1" applyBorder="1" applyAlignment="1">
      <alignment vertical="center"/>
    </xf>
    <xf numFmtId="166" fontId="107" fillId="0" borderId="6" xfId="1" applyNumberFormat="1" applyFont="1" applyFill="1" applyBorder="1" applyAlignment="1">
      <alignment vertical="center"/>
    </xf>
    <xf numFmtId="0" fontId="106" fillId="0" borderId="0" xfId="2" applyNumberFormat="1" applyFont="1" applyFill="1" applyAlignment="1">
      <alignment vertical="center"/>
    </xf>
    <xf numFmtId="166" fontId="106" fillId="0" borderId="3" xfId="1" applyNumberFormat="1" applyFont="1" applyFill="1" applyBorder="1" applyAlignment="1">
      <alignment vertical="center"/>
    </xf>
    <xf numFmtId="166" fontId="107" fillId="0" borderId="0" xfId="1" applyNumberFormat="1" applyFont="1" applyFill="1" applyAlignment="1">
      <alignment vertical="center"/>
    </xf>
    <xf numFmtId="166" fontId="107" fillId="0" borderId="3" xfId="1" applyNumberFormat="1" applyFont="1" applyFill="1" applyBorder="1" applyAlignment="1">
      <alignment vertical="center"/>
    </xf>
    <xf numFmtId="0" fontId="108" fillId="0" borderId="0" xfId="2" applyFont="1" applyFill="1" applyBorder="1"/>
    <xf numFmtId="43" fontId="108" fillId="0" borderId="0" xfId="2" applyNumberFormat="1" applyFont="1" applyFill="1" applyBorder="1"/>
    <xf numFmtId="166" fontId="106" fillId="0" borderId="0" xfId="1" applyNumberFormat="1" applyFont="1" applyFill="1" applyAlignment="1">
      <alignment vertical="center"/>
    </xf>
    <xf numFmtId="0" fontId="107" fillId="0" borderId="0" xfId="2" applyFont="1" applyFill="1" applyBorder="1"/>
    <xf numFmtId="166" fontId="107" fillId="0" borderId="0" xfId="2" applyNumberFormat="1" applyFont="1" applyFill="1"/>
    <xf numFmtId="166" fontId="108" fillId="0" borderId="0" xfId="2" applyNumberFormat="1" applyFont="1" applyFill="1"/>
    <xf numFmtId="37" fontId="107" fillId="0" borderId="0" xfId="50" applyNumberFormat="1" applyFont="1" applyFill="1" applyAlignment="1" applyProtection="1">
      <alignment horizontal="left" vertical="top"/>
    </xf>
    <xf numFmtId="0" fontId="106" fillId="0" borderId="0" xfId="2" applyFont="1" applyFill="1"/>
    <xf numFmtId="37" fontId="107" fillId="0" borderId="0" xfId="50" applyNumberFormat="1" applyFont="1" applyFill="1" applyAlignment="1" applyProtection="1">
      <alignment horizontal="left"/>
    </xf>
    <xf numFmtId="166" fontId="106" fillId="0" borderId="5" xfId="46" applyNumberFormat="1" applyFont="1" applyFill="1" applyBorder="1" applyAlignment="1">
      <alignment vertical="center"/>
    </xf>
    <xf numFmtId="166" fontId="106" fillId="0" borderId="0" xfId="1" applyNumberFormat="1" applyFont="1" applyFill="1" applyBorder="1"/>
    <xf numFmtId="166" fontId="107" fillId="0" borderId="0" xfId="2" applyNumberFormat="1" applyFont="1" applyFill="1" applyBorder="1"/>
    <xf numFmtId="166" fontId="107" fillId="0" borderId="0" xfId="46" applyNumberFormat="1" applyFont="1" applyFill="1" applyAlignment="1">
      <alignment vertical="center"/>
    </xf>
    <xf numFmtId="43" fontId="107" fillId="0" borderId="3" xfId="1" applyFont="1" applyFill="1" applyBorder="1"/>
    <xf numFmtId="166" fontId="106" fillId="0" borderId="7" xfId="1" applyNumberFormat="1" applyFont="1" applyFill="1" applyBorder="1" applyAlignment="1">
      <alignment vertical="center"/>
    </xf>
    <xf numFmtId="166" fontId="107" fillId="0" borderId="7" xfId="1" applyNumberFormat="1" applyFont="1" applyFill="1" applyBorder="1" applyAlignment="1">
      <alignment vertical="center"/>
    </xf>
    <xf numFmtId="166" fontId="107" fillId="0" borderId="0" xfId="2" applyNumberFormat="1" applyFont="1" applyFill="1" applyAlignment="1">
      <alignment vertical="center"/>
    </xf>
    <xf numFmtId="166" fontId="108" fillId="0" borderId="0" xfId="2" applyNumberFormat="1" applyFont="1" applyFill="1" applyAlignment="1">
      <alignment vertical="center"/>
    </xf>
    <xf numFmtId="0" fontId="107" fillId="0" borderId="0" xfId="2" applyFont="1" applyFill="1" applyBorder="1" applyAlignment="1">
      <alignment vertical="center"/>
    </xf>
    <xf numFmtId="43" fontId="107" fillId="0" borderId="0" xfId="46" applyFont="1" applyFill="1" applyAlignment="1">
      <alignment vertical="center"/>
    </xf>
    <xf numFmtId="166" fontId="107" fillId="0" borderId="0" xfId="1" applyNumberFormat="1" applyFont="1" applyFill="1"/>
    <xf numFmtId="166" fontId="106" fillId="0" borderId="0" xfId="2" applyNumberFormat="1" applyFont="1" applyFill="1" applyBorder="1"/>
    <xf numFmtId="0" fontId="107" fillId="0" borderId="0" xfId="2" applyFont="1" applyFill="1" applyBorder="1" applyAlignment="1">
      <alignment horizontal="center" vertical="center"/>
    </xf>
    <xf numFmtId="43" fontId="107" fillId="0" borderId="0" xfId="1" applyFont="1" applyFill="1"/>
    <xf numFmtId="166" fontId="106" fillId="0" borderId="0" xfId="1" applyNumberFormat="1" applyFont="1" applyFill="1" applyBorder="1" applyAlignment="1">
      <alignment horizontal="center" vertical="center" wrapText="1"/>
    </xf>
    <xf numFmtId="0" fontId="106" fillId="0" borderId="0" xfId="2" applyFont="1" applyFill="1" applyAlignment="1">
      <alignment horizontal="center" vertical="center" wrapText="1"/>
    </xf>
    <xf numFmtId="43" fontId="107" fillId="0" borderId="0" xfId="2" applyNumberFormat="1" applyFont="1" applyFill="1" applyAlignment="1">
      <alignment horizontal="center" vertical="center"/>
    </xf>
    <xf numFmtId="166" fontId="106" fillId="0" borderId="1" xfId="1" applyNumberFormat="1" applyFont="1" applyFill="1" applyBorder="1" applyAlignment="1">
      <alignment horizontal="right" vertical="center"/>
    </xf>
    <xf numFmtId="166" fontId="107" fillId="0" borderId="0" xfId="2" applyNumberFormat="1" applyFont="1" applyFill="1" applyBorder="1" applyAlignment="1">
      <alignment horizontal="right" vertical="center"/>
    </xf>
    <xf numFmtId="166" fontId="107" fillId="0" borderId="1" xfId="2" applyNumberFormat="1" applyFont="1" applyFill="1" applyBorder="1" applyAlignment="1">
      <alignment horizontal="right" vertical="center"/>
    </xf>
    <xf numFmtId="166" fontId="107" fillId="0" borderId="0" xfId="46" applyNumberFormat="1" applyFont="1" applyFill="1"/>
    <xf numFmtId="3" fontId="106" fillId="0" borderId="7" xfId="2" applyNumberFormat="1" applyFont="1" applyFill="1" applyBorder="1"/>
    <xf numFmtId="0" fontId="107" fillId="0" borderId="0" xfId="2" applyNumberFormat="1" applyFont="1" applyFill="1" applyAlignment="1">
      <alignment horizontal="left" vertical="center"/>
    </xf>
    <xf numFmtId="232" fontId="107" fillId="0" borderId="0" xfId="2" applyNumberFormat="1" applyFont="1" applyFill="1"/>
    <xf numFmtId="43" fontId="107" fillId="0" borderId="0" xfId="2" applyNumberFormat="1" applyFont="1" applyFill="1" applyBorder="1" applyAlignment="1">
      <alignment horizontal="right" vertical="center"/>
    </xf>
    <xf numFmtId="178" fontId="107" fillId="0" borderId="1" xfId="1" applyNumberFormat="1" applyFont="1" applyFill="1" applyBorder="1" applyAlignment="1">
      <alignment horizontal="right" vertical="center"/>
    </xf>
    <xf numFmtId="228" fontId="107" fillId="0" borderId="0" xfId="2" applyNumberFormat="1" applyFont="1" applyFill="1"/>
    <xf numFmtId="0" fontId="107" fillId="0" borderId="0" xfId="2" applyNumberFormat="1" applyFont="1" applyFill="1" applyAlignment="1">
      <alignment vertical="top"/>
    </xf>
    <xf numFmtId="0" fontId="107" fillId="0" borderId="0" xfId="2" applyFont="1" applyFill="1" applyAlignment="1">
      <alignment horizontal="center"/>
    </xf>
    <xf numFmtId="166" fontId="107" fillId="0" borderId="0" xfId="1" applyNumberFormat="1" applyFont="1" applyFill="1" applyBorder="1"/>
    <xf numFmtId="231" fontId="107" fillId="0" borderId="0" xfId="2" applyNumberFormat="1" applyFont="1" applyFill="1"/>
    <xf numFmtId="178" fontId="107" fillId="0" borderId="0" xfId="2" applyNumberFormat="1" applyFont="1" applyFill="1"/>
    <xf numFmtId="0" fontId="106" fillId="0" borderId="0" xfId="2" applyFont="1" applyFill="1" applyAlignment="1"/>
    <xf numFmtId="0" fontId="106" fillId="0" borderId="0" xfId="2" applyFont="1" applyFill="1" applyAlignment="1">
      <alignment vertical="center"/>
    </xf>
    <xf numFmtId="0" fontId="106" fillId="0" borderId="0" xfId="2" applyFont="1" applyFill="1" applyAlignment="1">
      <alignment horizontal="center" vertical="center"/>
    </xf>
    <xf numFmtId="0" fontId="106" fillId="0" borderId="0" xfId="2" applyFont="1" applyFill="1" applyBorder="1" applyAlignment="1">
      <alignment vertical="top"/>
    </xf>
    <xf numFmtId="0" fontId="106" fillId="0" borderId="0" xfId="0" applyNumberFormat="1" applyFont="1" applyFill="1" applyAlignment="1">
      <alignment horizontal="left" indent="1"/>
    </xf>
    <xf numFmtId="0" fontId="106" fillId="0" borderId="0" xfId="0" applyFont="1" applyFill="1" applyAlignment="1"/>
    <xf numFmtId="166" fontId="107" fillId="0" borderId="0" xfId="2" applyNumberFormat="1" applyFont="1" applyFill="1" applyBorder="1" applyAlignment="1">
      <alignment vertical="top"/>
    </xf>
    <xf numFmtId="41" fontId="106" fillId="0" borderId="0" xfId="2" applyNumberFormat="1" applyFont="1" applyFill="1" applyAlignment="1"/>
    <xf numFmtId="0" fontId="107" fillId="0" borderId="0" xfId="43" applyNumberFormat="1" applyFont="1" applyFill="1" applyBorder="1" applyAlignment="1">
      <alignment vertical="center"/>
    </xf>
    <xf numFmtId="0" fontId="107" fillId="0" borderId="0" xfId="2" applyFont="1"/>
    <xf numFmtId="0" fontId="107" fillId="0" borderId="0" xfId="8" applyFont="1" applyFill="1" applyAlignment="1">
      <alignment vertical="top"/>
    </xf>
    <xf numFmtId="0" fontId="106" fillId="0" borderId="0" xfId="8" quotePrefix="1" applyFont="1" applyFill="1" applyBorder="1" applyAlignment="1">
      <alignment horizontal="center" vertical="top"/>
    </xf>
    <xf numFmtId="0" fontId="106" fillId="0" borderId="0" xfId="8" applyFont="1" applyFill="1" applyBorder="1" applyAlignment="1">
      <alignment horizontal="center" vertical="top"/>
    </xf>
    <xf numFmtId="3" fontId="107" fillId="0" borderId="0" xfId="2" applyNumberFormat="1" applyFont="1"/>
    <xf numFmtId="0" fontId="107" fillId="4" borderId="0" xfId="2" applyFont="1" applyFill="1"/>
    <xf numFmtId="0" fontId="107" fillId="0" borderId="0" xfId="36" applyFont="1" applyFill="1" applyAlignment="1">
      <alignment vertical="top"/>
    </xf>
    <xf numFmtId="166" fontId="107" fillId="0" borderId="0" xfId="303" applyNumberFormat="1" applyFont="1" applyFill="1" applyBorder="1" applyAlignment="1">
      <alignment vertical="top"/>
    </xf>
    <xf numFmtId="166" fontId="106" fillId="0" borderId="0" xfId="303" applyNumberFormat="1" applyFont="1" applyFill="1" applyBorder="1" applyAlignment="1">
      <alignment vertical="top"/>
    </xf>
    <xf numFmtId="166" fontId="106" fillId="0" borderId="0" xfId="303" applyNumberFormat="1" applyFont="1" applyFill="1" applyAlignment="1">
      <alignment vertical="top"/>
    </xf>
    <xf numFmtId="0" fontId="107" fillId="0" borderId="0" xfId="2" applyFont="1" applyFill="1" applyBorder="1" applyAlignment="1">
      <alignment horizontal="left" vertical="top" wrapText="1"/>
    </xf>
    <xf numFmtId="166" fontId="107" fillId="0" borderId="0" xfId="2" applyNumberFormat="1" applyFont="1" applyFill="1" applyBorder="1" applyAlignment="1">
      <alignment horizontal="left" vertical="top" wrapText="1"/>
    </xf>
    <xf numFmtId="0" fontId="107" fillId="0" borderId="0" xfId="43" applyNumberFormat="1" applyFont="1" applyFill="1" applyBorder="1" applyAlignment="1"/>
    <xf numFmtId="0" fontId="107" fillId="0" borderId="0" xfId="13" applyFont="1" applyFill="1" applyBorder="1" applyAlignment="1" applyProtection="1">
      <alignment vertical="top"/>
      <protection locked="0"/>
    </xf>
    <xf numFmtId="166" fontId="107" fillId="0" borderId="0" xfId="2" applyNumberFormat="1" applyFont="1" applyFill="1" applyBorder="1" applyAlignment="1">
      <alignment horizontal="left" vertical="top"/>
    </xf>
    <xf numFmtId="0" fontId="106" fillId="0" borderId="0" xfId="2" applyFont="1" applyFill="1" applyAlignment="1">
      <alignment horizontal="left" vertical="top" wrapText="1"/>
    </xf>
    <xf numFmtId="0" fontId="106" fillId="0" borderId="0" xfId="2" applyNumberFormat="1" applyFont="1" applyFill="1" applyAlignment="1">
      <alignment vertical="top"/>
    </xf>
    <xf numFmtId="0" fontId="106" fillId="0" borderId="0" xfId="2" applyNumberFormat="1" applyFont="1" applyFill="1" applyBorder="1" applyAlignment="1">
      <alignment vertical="top"/>
    </xf>
    <xf numFmtId="0" fontId="107" fillId="0" borderId="0" xfId="2" applyFont="1" applyFill="1" applyBorder="1" applyAlignment="1"/>
    <xf numFmtId="0" fontId="107" fillId="0" borderId="0" xfId="2" applyFont="1" applyBorder="1"/>
    <xf numFmtId="1" fontId="106" fillId="0" borderId="0" xfId="14" quotePrefix="1" applyNumberFormat="1" applyFont="1" applyFill="1" applyAlignment="1">
      <alignment horizontal="left" vertical="top"/>
    </xf>
    <xf numFmtId="0" fontId="106" fillId="0" borderId="0" xfId="1393" applyFont="1" applyFill="1" applyAlignment="1">
      <alignment horizontal="left" vertical="top"/>
    </xf>
    <xf numFmtId="0" fontId="106" fillId="0" borderId="0" xfId="1400" applyFont="1" applyFill="1" applyAlignment="1" applyProtection="1">
      <alignment horizontal="center" vertical="top"/>
    </xf>
    <xf numFmtId="0" fontId="106" fillId="0" borderId="0" xfId="1400" applyFont="1" applyFill="1" applyBorder="1" applyAlignment="1" applyProtection="1">
      <alignment horizontal="center" vertical="top"/>
    </xf>
    <xf numFmtId="0" fontId="107" fillId="0" borderId="0" xfId="1393" applyFont="1" applyFill="1" applyAlignment="1">
      <alignment horizontal="left" wrapText="1"/>
    </xf>
    <xf numFmtId="0" fontId="106" fillId="0" borderId="0" xfId="225" quotePrefix="1" applyFont="1" applyFill="1" applyAlignment="1">
      <alignment horizontal="left" vertical="top"/>
    </xf>
    <xf numFmtId="0" fontId="106" fillId="0" borderId="0" xfId="1400" applyFont="1" applyFill="1" applyAlignment="1" applyProtection="1">
      <alignment vertical="top"/>
    </xf>
    <xf numFmtId="0" fontId="107" fillId="0" borderId="0" xfId="1393" applyFont="1" applyFill="1" applyBorder="1" applyAlignment="1">
      <alignment horizontal="centerContinuous" vertical="top"/>
    </xf>
    <xf numFmtId="41" fontId="109" fillId="0" borderId="0" xfId="1404" applyNumberFormat="1" applyFont="1" applyFill="1" applyBorder="1" applyAlignment="1" applyProtection="1">
      <alignment vertical="top"/>
    </xf>
    <xf numFmtId="0" fontId="107" fillId="0" borderId="0" xfId="1393" applyFont="1" applyFill="1" applyAlignment="1">
      <alignment vertical="top"/>
    </xf>
    <xf numFmtId="0" fontId="107" fillId="0" borderId="0" xfId="1393" applyFont="1" applyFill="1" applyBorder="1" applyAlignment="1">
      <alignment vertical="top"/>
    </xf>
    <xf numFmtId="0" fontId="107" fillId="0" borderId="0" xfId="1405" applyFont="1" applyFill="1" applyProtection="1"/>
    <xf numFmtId="0" fontId="106" fillId="0" borderId="0" xfId="36" applyFont="1" applyFill="1" applyBorder="1" applyAlignment="1">
      <alignment horizontal="left" vertical="center"/>
    </xf>
    <xf numFmtId="0" fontId="107" fillId="0" borderId="0" xfId="43" applyNumberFormat="1" applyFont="1" applyFill="1" applyAlignment="1">
      <alignment vertical="center"/>
    </xf>
    <xf numFmtId="0" fontId="107" fillId="0" borderId="0" xfId="43" applyNumberFormat="1" applyFont="1" applyFill="1" applyAlignment="1"/>
    <xf numFmtId="0" fontId="107" fillId="0" borderId="0" xfId="171" applyFont="1" applyFill="1" applyAlignment="1" applyProtection="1">
      <alignment vertical="top"/>
      <protection locked="0"/>
    </xf>
    <xf numFmtId="43" fontId="107" fillId="0" borderId="0" xfId="10" applyFont="1" applyFill="1" applyBorder="1" applyAlignment="1">
      <alignment vertical="top"/>
    </xf>
    <xf numFmtId="0" fontId="110" fillId="0" borderId="0" xfId="36" applyFont="1" applyFill="1" applyAlignment="1">
      <alignment vertical="top"/>
    </xf>
    <xf numFmtId="166" fontId="106" fillId="0" borderId="0" xfId="46" applyNumberFormat="1" applyFont="1" applyFill="1" applyAlignment="1">
      <alignment vertical="top"/>
    </xf>
    <xf numFmtId="166" fontId="107" fillId="0" borderId="0" xfId="1394" applyNumberFormat="1" applyFont="1" applyFill="1" applyAlignment="1">
      <alignment vertical="top"/>
    </xf>
    <xf numFmtId="0" fontId="106" fillId="0" borderId="0" xfId="29" quotePrefix="1" applyNumberFormat="1" applyFont="1" applyFill="1" applyAlignment="1">
      <alignment horizontal="left"/>
    </xf>
    <xf numFmtId="0" fontId="110" fillId="0" borderId="0" xfId="0" applyNumberFormat="1" applyFont="1" applyFill="1" applyAlignment="1"/>
    <xf numFmtId="0" fontId="106" fillId="0" borderId="0" xfId="0" quotePrefix="1" applyNumberFormat="1" applyFont="1" applyFill="1" applyAlignment="1">
      <alignment horizontal="center" vertical="top"/>
    </xf>
    <xf numFmtId="0" fontId="110" fillId="0" borderId="0" xfId="0" quotePrefix="1" applyFont="1" applyFill="1" applyAlignment="1">
      <alignment horizontal="center"/>
    </xf>
    <xf numFmtId="0" fontId="106" fillId="0" borderId="0" xfId="0" applyFont="1" applyFill="1"/>
    <xf numFmtId="0" fontId="110" fillId="0" borderId="0" xfId="0" applyFont="1" applyFill="1" applyAlignment="1">
      <alignment horizontal="left" indent="1"/>
    </xf>
    <xf numFmtId="166" fontId="106" fillId="0" borderId="0" xfId="84" applyNumberFormat="1" applyFont="1" applyFill="1"/>
    <xf numFmtId="166" fontId="110" fillId="0" borderId="0" xfId="84" applyNumberFormat="1" applyFont="1" applyFill="1"/>
    <xf numFmtId="0" fontId="107" fillId="0" borderId="0" xfId="0" applyFont="1" applyFill="1" applyAlignment="1">
      <alignment vertical="top"/>
    </xf>
    <xf numFmtId="0" fontId="106" fillId="0" borderId="0" xfId="84" quotePrefix="1" applyNumberFormat="1" applyFont="1" applyFill="1" applyAlignment="1">
      <alignment horizontal="left"/>
    </xf>
    <xf numFmtId="0" fontId="110" fillId="0" borderId="0" xfId="0" quotePrefix="1" applyFont="1" applyFill="1" applyAlignment="1">
      <alignment horizontal="center" vertical="top"/>
    </xf>
    <xf numFmtId="166" fontId="106" fillId="0" borderId="0" xfId="0" applyNumberFormat="1" applyFont="1" applyFill="1"/>
    <xf numFmtId="0" fontId="107" fillId="0" borderId="0" xfId="0" applyFont="1" applyFill="1"/>
    <xf numFmtId="166" fontId="107" fillId="0" borderId="0" xfId="84" applyNumberFormat="1" applyFont="1" applyFill="1" applyAlignment="1">
      <alignment horizontal="left" indent="1"/>
    </xf>
    <xf numFmtId="0" fontId="107" fillId="4" borderId="0" xfId="2" applyNumberFormat="1" applyFont="1" applyFill="1" applyAlignment="1"/>
    <xf numFmtId="0" fontId="106" fillId="0" borderId="0" xfId="4" applyFont="1" applyFill="1" applyAlignment="1">
      <alignment vertical="top"/>
    </xf>
    <xf numFmtId="0" fontId="107" fillId="4" borderId="0" xfId="156" quotePrefix="1" applyFont="1" applyFill="1" applyAlignment="1"/>
    <xf numFmtId="0" fontId="106" fillId="0" borderId="0" xfId="2" quotePrefix="1" applyNumberFormat="1" applyFont="1" applyFill="1" applyAlignment="1">
      <alignment horizontal="left" vertical="top"/>
    </xf>
    <xf numFmtId="0" fontId="107" fillId="0" borderId="0" xfId="2" applyNumberFormat="1" applyFont="1" applyFill="1" applyAlignment="1" applyProtection="1">
      <alignment horizontal="justify" vertical="top" wrapText="1"/>
      <protection locked="0"/>
    </xf>
    <xf numFmtId="0" fontId="107" fillId="0" borderId="0" xfId="2" applyNumberFormat="1" applyFont="1" applyFill="1" applyAlignment="1" applyProtection="1">
      <alignment horizontal="left" vertical="top"/>
      <protection locked="0"/>
    </xf>
    <xf numFmtId="0" fontId="107" fillId="0" borderId="0" xfId="2" applyFont="1" applyFill="1" applyAlignment="1">
      <alignment vertical="top"/>
    </xf>
    <xf numFmtId="0" fontId="106" fillId="0" borderId="0" xfId="4" applyNumberFormat="1" applyFont="1" applyFill="1" applyAlignment="1">
      <alignment vertical="top"/>
    </xf>
    <xf numFmtId="0" fontId="107" fillId="0" borderId="0" xfId="14" applyFont="1" applyFill="1" applyAlignment="1">
      <alignment vertical="top"/>
    </xf>
    <xf numFmtId="0" fontId="107" fillId="0" borderId="0" xfId="14" applyFont="1" applyFill="1" applyBorder="1" applyAlignment="1">
      <alignment vertical="top"/>
    </xf>
    <xf numFmtId="0" fontId="107" fillId="0" borderId="0" xfId="4" applyFont="1" applyFill="1" applyAlignment="1">
      <alignment vertical="top"/>
    </xf>
    <xf numFmtId="0" fontId="107" fillId="0" borderId="0" xfId="4" applyFont="1" applyFill="1" applyAlignment="1">
      <alignment horizontal="justify" vertical="top" wrapText="1"/>
    </xf>
    <xf numFmtId="0" fontId="107" fillId="0" borderId="0" xfId="2" applyNumberFormat="1" applyFont="1" applyFill="1" applyAlignment="1">
      <alignment horizontal="justify" vertical="top" wrapText="1"/>
    </xf>
    <xf numFmtId="0" fontId="107" fillId="0" borderId="0" xfId="2" applyNumberFormat="1" applyFont="1" applyFill="1" applyAlignment="1">
      <alignment horizontal="justify" vertical="top"/>
    </xf>
    <xf numFmtId="176" fontId="107" fillId="0" borderId="0" xfId="29" applyNumberFormat="1" applyFont="1" applyFill="1" applyAlignment="1">
      <alignment vertical="top"/>
    </xf>
    <xf numFmtId="0" fontId="106" fillId="0" borderId="0" xfId="4" quotePrefix="1" applyNumberFormat="1" applyFont="1" applyFill="1" applyAlignment="1">
      <alignment vertical="top"/>
    </xf>
    <xf numFmtId="0" fontId="107" fillId="0" borderId="0" xfId="2" applyFont="1" applyFill="1" applyAlignment="1">
      <alignment horizontal="justify" vertical="top" wrapText="1"/>
    </xf>
    <xf numFmtId="0" fontId="107" fillId="0" borderId="0" xfId="2" applyFont="1" applyFill="1" applyAlignment="1">
      <alignment horizontal="justify" vertical="top"/>
    </xf>
    <xf numFmtId="0" fontId="106" fillId="0" borderId="0" xfId="2" quotePrefix="1" applyNumberFormat="1" applyFont="1" applyFill="1" applyAlignment="1">
      <alignment vertical="top"/>
    </xf>
    <xf numFmtId="0" fontId="106" fillId="0" borderId="0" xfId="2" applyNumberFormat="1" applyFont="1" applyFill="1" applyAlignment="1">
      <alignment horizontal="left" vertical="top"/>
    </xf>
    <xf numFmtId="0" fontId="106" fillId="0" borderId="0" xfId="2" quotePrefix="1" applyFont="1" applyFill="1" applyAlignment="1">
      <alignment vertical="top"/>
    </xf>
    <xf numFmtId="0" fontId="106" fillId="0" borderId="0" xfId="2" applyFont="1" applyFill="1" applyAlignment="1">
      <alignment horizontal="center" vertical="top"/>
    </xf>
    <xf numFmtId="9" fontId="107" fillId="0" borderId="0" xfId="47" applyNumberFormat="1" applyFont="1" applyFill="1" applyAlignment="1">
      <alignment vertical="top"/>
    </xf>
    <xf numFmtId="0" fontId="107" fillId="0" borderId="0" xfId="2" applyFont="1" applyFill="1" applyAlignment="1">
      <alignment vertical="top" wrapText="1"/>
    </xf>
    <xf numFmtId="180" fontId="107" fillId="0" borderId="0" xfId="41" applyNumberFormat="1" applyFont="1" applyFill="1" applyAlignment="1">
      <alignment vertical="top"/>
    </xf>
    <xf numFmtId="180" fontId="107" fillId="3" borderId="0" xfId="41" applyNumberFormat="1" applyFont="1" applyFill="1" applyAlignment="1">
      <alignment vertical="top"/>
    </xf>
    <xf numFmtId="49" fontId="107" fillId="0" borderId="0" xfId="2" applyNumberFormat="1" applyFont="1" applyFill="1" applyAlignment="1" applyProtection="1">
      <alignment horizontal="center"/>
    </xf>
    <xf numFmtId="230" fontId="111" fillId="0" borderId="0" xfId="160" quotePrefix="1" applyNumberFormat="1" applyFont="1" applyFill="1" applyAlignment="1">
      <alignment horizontal="left"/>
    </xf>
    <xf numFmtId="0" fontId="110" fillId="0" borderId="0" xfId="1080" quotePrefix="1" applyFont="1" applyFill="1" applyAlignment="1">
      <alignment horizontal="justify" vertical="top"/>
    </xf>
    <xf numFmtId="0" fontId="110" fillId="0" borderId="0" xfId="50" applyFont="1" applyFill="1"/>
    <xf numFmtId="0" fontId="107" fillId="0" borderId="0" xfId="2" applyFont="1" applyFill="1" applyAlignment="1">
      <alignment horizontal="center" vertical="top"/>
    </xf>
    <xf numFmtId="0" fontId="110" fillId="0" borderId="0" xfId="1080" quotePrefix="1" applyFont="1" applyFill="1" applyAlignment="1">
      <alignment horizontal="justify" vertical="top" wrapText="1"/>
    </xf>
    <xf numFmtId="0" fontId="107" fillId="0" borderId="0" xfId="1080" applyFont="1" applyFill="1" applyAlignment="1" applyProtection="1">
      <alignment vertical="top"/>
    </xf>
    <xf numFmtId="171" fontId="110" fillId="0" borderId="0" xfId="26" applyNumberFormat="1" applyFont="1" applyFill="1" applyAlignment="1">
      <alignment horizontal="center" vertical="center" wrapText="1"/>
    </xf>
    <xf numFmtId="166" fontId="111" fillId="0" borderId="0" xfId="46" applyNumberFormat="1" applyFont="1" applyFill="1" applyAlignment="1">
      <alignment vertical="center"/>
    </xf>
    <xf numFmtId="166" fontId="110" fillId="3" borderId="0" xfId="1404" applyNumberFormat="1" applyFont="1" applyFill="1" applyAlignment="1">
      <alignment vertical="center"/>
    </xf>
    <xf numFmtId="0" fontId="107" fillId="0" borderId="0" xfId="1261" applyFont="1" applyFill="1" applyAlignment="1">
      <alignment horizontal="left" vertical="top"/>
    </xf>
    <xf numFmtId="166" fontId="110" fillId="0" borderId="0" xfId="1404" applyNumberFormat="1" applyFont="1" applyFill="1" applyAlignment="1">
      <alignment vertical="center"/>
    </xf>
    <xf numFmtId="0" fontId="107" fillId="0" borderId="0" xfId="156" applyFont="1" applyFill="1"/>
    <xf numFmtId="166" fontId="111" fillId="0" borderId="7" xfId="1404" applyNumberFormat="1" applyFont="1" applyFill="1" applyBorder="1" applyAlignment="1">
      <alignment vertical="center"/>
    </xf>
    <xf numFmtId="166" fontId="110" fillId="0" borderId="7" xfId="1404" applyNumberFormat="1" applyFont="1" applyFill="1" applyBorder="1" applyAlignment="1">
      <alignment vertical="center"/>
    </xf>
    <xf numFmtId="166" fontId="110" fillId="0" borderId="0" xfId="1080" quotePrefix="1" applyNumberFormat="1" applyFont="1" applyFill="1" applyAlignment="1">
      <alignment horizontal="justify" vertical="top"/>
    </xf>
    <xf numFmtId="0" fontId="106" fillId="0" borderId="0" xfId="14" quotePrefix="1" applyFont="1" applyAlignment="1">
      <alignment horizontal="left" vertical="top"/>
    </xf>
    <xf numFmtId="0" fontId="109" fillId="0" borderId="0" xfId="50" applyFont="1" applyAlignment="1">
      <alignment vertical="top"/>
    </xf>
    <xf numFmtId="0" fontId="106" fillId="0" borderId="0" xfId="8" applyFont="1" applyAlignment="1">
      <alignment horizontal="left" vertical="top"/>
    </xf>
    <xf numFmtId="0" fontId="110" fillId="0" borderId="0" xfId="50" applyFont="1"/>
    <xf numFmtId="0" fontId="110" fillId="0" borderId="0" xfId="1080" quotePrefix="1" applyFont="1" applyAlignment="1">
      <alignment vertical="top" wrapText="1"/>
    </xf>
    <xf numFmtId="0" fontId="111" fillId="0" borderId="0" xfId="1" applyNumberFormat="1" applyFont="1" applyAlignment="1">
      <alignment horizontal="center"/>
    </xf>
    <xf numFmtId="0" fontId="110" fillId="0" borderId="0" xfId="1080" quotePrefix="1" applyFont="1" applyAlignment="1">
      <alignment horizontal="justify" vertical="top"/>
    </xf>
    <xf numFmtId="0" fontId="111" fillId="0" borderId="0" xfId="790" applyFont="1" applyAlignment="1">
      <alignment horizontal="center"/>
    </xf>
    <xf numFmtId="16" fontId="111" fillId="0" borderId="0" xfId="1" quotePrefix="1" applyNumberFormat="1" applyFont="1" applyAlignment="1">
      <alignment horizontal="center"/>
    </xf>
    <xf numFmtId="0" fontId="106" fillId="0" borderId="59" xfId="4" applyFont="1" applyBorder="1" applyAlignment="1" applyProtection="1">
      <alignment horizontal="center" vertical="top"/>
      <protection locked="0"/>
    </xf>
    <xf numFmtId="0" fontId="106" fillId="0" borderId="0" xfId="21" applyFont="1" applyAlignment="1">
      <alignment horizontal="left" vertical="top"/>
    </xf>
    <xf numFmtId="0" fontId="111" fillId="0" borderId="0" xfId="1" quotePrefix="1" applyNumberFormat="1" applyFont="1" applyAlignment="1">
      <alignment horizontal="center"/>
    </xf>
    <xf numFmtId="166" fontId="107" fillId="0" borderId="59" xfId="46" applyNumberFormat="1" applyFont="1" applyBorder="1" applyAlignment="1" applyProtection="1">
      <alignment horizontal="center" vertical="top"/>
      <protection locked="0"/>
    </xf>
    <xf numFmtId="166" fontId="107" fillId="0" borderId="59" xfId="4" applyNumberFormat="1" applyFont="1" applyBorder="1" applyAlignment="1" applyProtection="1">
      <alignment horizontal="center" vertical="top"/>
      <protection locked="0"/>
    </xf>
    <xf numFmtId="178" fontId="107" fillId="0" borderId="59" xfId="4" applyNumberFormat="1" applyFont="1" applyBorder="1" applyAlignment="1" applyProtection="1">
      <alignment horizontal="center" vertical="top"/>
      <protection locked="0"/>
    </xf>
    <xf numFmtId="0" fontId="107" fillId="0" borderId="0" xfId="21" applyFont="1" applyAlignment="1">
      <alignment horizontal="left" vertical="top"/>
    </xf>
    <xf numFmtId="0" fontId="111" fillId="0" borderId="0" xfId="50" quotePrefix="1" applyFont="1"/>
    <xf numFmtId="0" fontId="107" fillId="0" borderId="0" xfId="2" applyFont="1" applyAlignment="1">
      <alignment vertical="top"/>
    </xf>
    <xf numFmtId="0" fontId="111" fillId="0" borderId="0" xfId="50" quotePrefix="1" applyFont="1" applyAlignment="1">
      <alignment horizontal="center"/>
    </xf>
    <xf numFmtId="9" fontId="107" fillId="0" borderId="0" xfId="47" applyFont="1" applyAlignment="1">
      <alignment vertical="top"/>
    </xf>
    <xf numFmtId="166" fontId="107" fillId="0" borderId="0" xfId="38" applyNumberFormat="1" applyFont="1" applyAlignment="1">
      <alignment vertical="top"/>
    </xf>
    <xf numFmtId="166" fontId="107" fillId="0" borderId="0" xfId="2" applyNumberFormat="1" applyFont="1"/>
    <xf numFmtId="178" fontId="107" fillId="0" borderId="0" xfId="2" applyNumberFormat="1" applyFont="1" applyAlignment="1">
      <alignment vertical="top"/>
    </xf>
    <xf numFmtId="166" fontId="106" fillId="0" borderId="0" xfId="46" applyNumberFormat="1" applyFont="1" applyFill="1"/>
    <xf numFmtId="0" fontId="107" fillId="0" borderId="0" xfId="4" applyFont="1" applyProtection="1">
      <alignment vertical="top"/>
      <protection locked="0"/>
    </xf>
    <xf numFmtId="0" fontId="107" fillId="0" borderId="0" xfId="2" applyFont="1" applyAlignment="1">
      <alignment horizontal="right"/>
    </xf>
    <xf numFmtId="0" fontId="107" fillId="0" borderId="0" xfId="21" quotePrefix="1" applyFont="1" applyAlignment="1">
      <alignment horizontal="left" vertical="top" indent="1"/>
    </xf>
    <xf numFmtId="166" fontId="107" fillId="0" borderId="0" xfId="39" applyNumberFormat="1" applyFont="1"/>
    <xf numFmtId="178" fontId="107" fillId="0" borderId="0" xfId="2" applyNumberFormat="1" applyFont="1"/>
    <xf numFmtId="178" fontId="112" fillId="0" borderId="59" xfId="4" applyNumberFormat="1" applyFont="1" applyBorder="1" applyAlignment="1" applyProtection="1">
      <alignment horizontal="center" vertical="top"/>
      <protection locked="0"/>
    </xf>
    <xf numFmtId="166" fontId="106" fillId="0" borderId="7" xfId="38" applyNumberFormat="1" applyFont="1" applyFill="1" applyBorder="1" applyAlignment="1">
      <alignment vertical="center"/>
    </xf>
    <xf numFmtId="0" fontId="107" fillId="0" borderId="0" xfId="2" applyFont="1" applyAlignment="1">
      <alignment vertical="center"/>
    </xf>
    <xf numFmtId="176" fontId="107" fillId="0" borderId="0" xfId="29" applyNumberFormat="1" applyFont="1" applyFill="1" applyBorder="1" applyAlignment="1"/>
    <xf numFmtId="176" fontId="107" fillId="0" borderId="0" xfId="29" applyNumberFormat="1" applyFont="1" applyFill="1" applyAlignment="1"/>
    <xf numFmtId="170" fontId="106" fillId="0" borderId="0" xfId="883" applyNumberFormat="1" applyFont="1"/>
    <xf numFmtId="0" fontId="109" fillId="0" borderId="0" xfId="50" quotePrefix="1" applyFont="1" applyAlignment="1">
      <alignment vertical="top" wrapText="1"/>
    </xf>
    <xf numFmtId="0" fontId="107" fillId="0" borderId="0" xfId="1455" applyFont="1" applyAlignment="1"/>
    <xf numFmtId="0" fontId="107" fillId="0" borderId="0" xfId="1455" applyFont="1" applyAlignment="1">
      <alignment horizontal="justify" vertical="top" wrapText="1"/>
    </xf>
    <xf numFmtId="0" fontId="107" fillId="0" borderId="0" xfId="1455" applyFont="1" applyAlignment="1">
      <alignment vertical="top" wrapText="1"/>
    </xf>
    <xf numFmtId="0" fontId="106" fillId="0" borderId="59" xfId="4" applyFont="1" applyBorder="1" applyAlignment="1" applyProtection="1">
      <alignment horizontal="center" vertical="top" wrapText="1"/>
      <protection locked="0"/>
    </xf>
    <xf numFmtId="0" fontId="106" fillId="0" borderId="0" xfId="171" applyFont="1"/>
    <xf numFmtId="0" fontId="106" fillId="0" borderId="0" xfId="1394" applyNumberFormat="1" applyFont="1" applyFill="1" applyAlignment="1">
      <alignment horizontal="left" vertical="top"/>
    </xf>
    <xf numFmtId="0" fontId="107" fillId="0" borderId="0" xfId="1394" applyNumberFormat="1" applyFont="1" applyFill="1" applyAlignment="1">
      <alignment vertical="top"/>
    </xf>
    <xf numFmtId="166" fontId="107" fillId="0" borderId="0" xfId="1394" applyNumberFormat="1" applyFont="1" applyFill="1"/>
    <xf numFmtId="203" fontId="107" fillId="0" borderId="0" xfId="1394" applyFont="1" applyFill="1"/>
    <xf numFmtId="10" fontId="107" fillId="0" borderId="0" xfId="534" applyNumberFormat="1" applyFont="1" applyFill="1" applyAlignment="1">
      <alignment horizontal="right"/>
    </xf>
    <xf numFmtId="43" fontId="107" fillId="0" borderId="0" xfId="1394" applyNumberFormat="1" applyFont="1" applyFill="1" applyAlignment="1">
      <alignment horizontal="right"/>
    </xf>
    <xf numFmtId="182" fontId="107" fillId="0" borderId="0" xfId="1394" applyNumberFormat="1" applyFont="1" applyFill="1"/>
    <xf numFmtId="166" fontId="107" fillId="0" borderId="0" xfId="1394" applyNumberFormat="1" applyFont="1" applyFill="1" applyBorder="1" applyAlignment="1">
      <alignment vertical="top"/>
    </xf>
    <xf numFmtId="182" fontId="107" fillId="0" borderId="0" xfId="1394" applyNumberFormat="1" applyFont="1" applyFill="1" applyAlignment="1">
      <alignment vertical="top"/>
    </xf>
    <xf numFmtId="0" fontId="106" fillId="0" borderId="0" xfId="1394" applyNumberFormat="1" applyFont="1" applyFill="1" applyBorder="1" applyAlignment="1">
      <alignment horizontal="left" vertical="top"/>
    </xf>
    <xf numFmtId="203" fontId="107" fillId="0" borderId="0" xfId="1394" applyFont="1" applyFill="1" applyBorder="1" applyAlignment="1">
      <alignment vertical="top"/>
    </xf>
    <xf numFmtId="182" fontId="107" fillId="0" borderId="0" xfId="1394" applyNumberFormat="1" applyFont="1" applyFill="1" applyBorder="1" applyAlignment="1">
      <alignment vertical="top"/>
    </xf>
    <xf numFmtId="0" fontId="107" fillId="0" borderId="0" xfId="50" applyFont="1" applyFill="1" applyBorder="1" applyAlignment="1">
      <alignment vertical="top" wrapText="1"/>
    </xf>
    <xf numFmtId="0" fontId="107" fillId="0" borderId="0" xfId="50" applyFont="1" applyFill="1" applyAlignment="1">
      <alignment vertical="top"/>
    </xf>
    <xf numFmtId="0" fontId="107" fillId="0" borderId="0" xfId="50" applyFont="1" applyFill="1" applyBorder="1" applyAlignment="1">
      <alignment vertical="top"/>
    </xf>
    <xf numFmtId="203" fontId="107" fillId="0" borderId="0" xfId="1394" applyFont="1" applyFill="1" applyAlignment="1">
      <alignment vertical="top"/>
    </xf>
    <xf numFmtId="166" fontId="107" fillId="0" borderId="0" xfId="1396" applyNumberFormat="1" applyFont="1" applyFill="1" applyBorder="1" applyAlignment="1">
      <alignment vertical="top"/>
    </xf>
    <xf numFmtId="0" fontId="106" fillId="0" borderId="0" xfId="2" applyFont="1" applyFill="1" applyAlignment="1">
      <alignment vertical="top"/>
    </xf>
    <xf numFmtId="0" fontId="114" fillId="0" borderId="0" xfId="2" applyNumberFormat="1" applyFont="1" applyFill="1" applyAlignment="1">
      <alignment vertical="top"/>
    </xf>
    <xf numFmtId="0" fontId="114" fillId="0" borderId="0" xfId="2" applyFont="1" applyFill="1" applyAlignment="1">
      <alignment horizontal="left" vertical="top"/>
    </xf>
    <xf numFmtId="0" fontId="115" fillId="0" borderId="0" xfId="2" applyFont="1" applyFill="1" applyAlignment="1">
      <alignment vertical="top"/>
    </xf>
    <xf numFmtId="0" fontId="106" fillId="0" borderId="0" xfId="2" applyFont="1" applyFill="1" applyAlignment="1">
      <alignment horizontal="left" vertical="top"/>
    </xf>
    <xf numFmtId="0" fontId="106" fillId="0" borderId="0" xfId="2" quotePrefix="1" applyFont="1" applyFill="1" applyAlignment="1">
      <alignment horizontal="left" vertical="top"/>
    </xf>
    <xf numFmtId="0" fontId="106" fillId="0" borderId="0" xfId="14" quotePrefix="1" applyFont="1" applyFill="1" applyAlignment="1">
      <alignment horizontal="left" vertical="top"/>
    </xf>
    <xf numFmtId="0" fontId="106" fillId="0" borderId="0" xfId="11" applyFont="1" applyFill="1"/>
    <xf numFmtId="0" fontId="107" fillId="0" borderId="0" xfId="11" applyFont="1" applyFill="1"/>
    <xf numFmtId="0" fontId="107" fillId="0" borderId="0" xfId="11" applyFont="1" applyFill="1" applyAlignment="1">
      <alignment horizontal="center"/>
    </xf>
    <xf numFmtId="4" fontId="107" fillId="0" borderId="0" xfId="11" applyNumberFormat="1" applyFont="1" applyFill="1" applyAlignment="1">
      <alignment horizontal="center"/>
    </xf>
    <xf numFmtId="0" fontId="106" fillId="0" borderId="0" xfId="11" applyFont="1" applyFill="1" applyAlignment="1">
      <alignment horizontal="center"/>
    </xf>
    <xf numFmtId="0" fontId="106" fillId="0" borderId="0" xfId="1" applyNumberFormat="1" applyFont="1" applyFill="1" applyAlignment="1">
      <alignment horizontal="center" vertical="top"/>
    </xf>
    <xf numFmtId="4" fontId="106" fillId="0" borderId="0" xfId="11" applyNumberFormat="1" applyFont="1" applyFill="1" applyBorder="1" applyAlignment="1">
      <alignment horizontal="center"/>
    </xf>
    <xf numFmtId="16" fontId="106" fillId="0" borderId="0" xfId="1" quotePrefix="1" applyNumberFormat="1" applyFont="1" applyFill="1" applyBorder="1" applyAlignment="1">
      <alignment horizontal="center" vertical="center"/>
    </xf>
    <xf numFmtId="4" fontId="106" fillId="0" borderId="0" xfId="1" quotePrefix="1" applyNumberFormat="1" applyFont="1" applyFill="1" applyBorder="1" applyAlignment="1">
      <alignment horizontal="center" vertical="center"/>
    </xf>
    <xf numFmtId="0" fontId="106" fillId="0" borderId="0" xfId="1" quotePrefix="1" applyNumberFormat="1" applyFont="1" applyFill="1" applyBorder="1" applyAlignment="1">
      <alignment horizontal="center" vertical="center"/>
    </xf>
    <xf numFmtId="0" fontId="106" fillId="0" borderId="0" xfId="1" applyNumberFormat="1" applyFont="1" applyFill="1" applyBorder="1" applyAlignment="1"/>
    <xf numFmtId="0" fontId="106" fillId="0" borderId="0" xfId="1" applyNumberFormat="1" applyFont="1" applyFill="1" applyBorder="1" applyAlignment="1">
      <alignment horizontal="center" vertical="center" wrapText="1"/>
    </xf>
    <xf numFmtId="167" fontId="107" fillId="0" borderId="0" xfId="1" quotePrefix="1" applyNumberFormat="1" applyFont="1" applyFill="1" applyBorder="1" applyAlignment="1">
      <alignment horizontal="center" vertical="center"/>
    </xf>
    <xf numFmtId="4" fontId="106" fillId="0" borderId="0" xfId="5" applyNumberFormat="1" applyFont="1" applyFill="1" applyAlignment="1">
      <alignment horizontal="center"/>
    </xf>
    <xf numFmtId="0" fontId="106" fillId="0" borderId="0" xfId="11" applyFont="1" applyFill="1" applyAlignment="1">
      <alignment horizontal="center" vertical="center"/>
    </xf>
    <xf numFmtId="0" fontId="107" fillId="0" borderId="0" xfId="11" applyFont="1" applyFill="1" applyAlignment="1">
      <alignment horizontal="center" vertical="center"/>
    </xf>
    <xf numFmtId="4" fontId="114" fillId="0" borderId="0" xfId="2" applyNumberFormat="1" applyFont="1" applyFill="1" applyAlignment="1"/>
    <xf numFmtId="3" fontId="107" fillId="0" borderId="0" xfId="11" applyNumberFormat="1" applyFont="1" applyFill="1"/>
    <xf numFmtId="41" fontId="106" fillId="0" borderId="0" xfId="12" applyNumberFormat="1" applyFont="1" applyFill="1" applyBorder="1"/>
    <xf numFmtId="41" fontId="107" fillId="0" borderId="0" xfId="11" applyNumberFormat="1" applyFont="1" applyFill="1" applyBorder="1"/>
    <xf numFmtId="41" fontId="107" fillId="0" borderId="0" xfId="12" applyNumberFormat="1" applyFont="1" applyFill="1" applyBorder="1"/>
    <xf numFmtId="37" fontId="107" fillId="0" borderId="0" xfId="1" applyNumberFormat="1" applyFont="1" applyFill="1" applyAlignment="1"/>
    <xf numFmtId="41" fontId="107" fillId="0" borderId="0" xfId="2" applyNumberFormat="1" applyFont="1"/>
    <xf numFmtId="0" fontId="107" fillId="0" borderId="0" xfId="1" applyNumberFormat="1" applyFont="1" applyFill="1" applyAlignment="1">
      <alignment vertical="top"/>
    </xf>
    <xf numFmtId="0" fontId="107" fillId="0" borderId="0" xfId="11" quotePrefix="1" applyFont="1" applyFill="1" applyAlignment="1">
      <alignment horizontal="left" indent="1"/>
    </xf>
    <xf numFmtId="41" fontId="106" fillId="0" borderId="3" xfId="12" applyNumberFormat="1" applyFont="1" applyFill="1" applyBorder="1"/>
    <xf numFmtId="41" fontId="107" fillId="0" borderId="3" xfId="12" applyNumberFormat="1" applyFont="1" applyFill="1" applyBorder="1"/>
    <xf numFmtId="41" fontId="106" fillId="4" borderId="3" xfId="12" applyNumberFormat="1" applyFont="1" applyFill="1" applyBorder="1"/>
    <xf numFmtId="37" fontId="107" fillId="0" borderId="0" xfId="2" applyNumberFormat="1" applyFont="1"/>
    <xf numFmtId="41" fontId="106" fillId="4" borderId="0" xfId="12" applyNumberFormat="1" applyFont="1" applyFill="1" applyBorder="1"/>
    <xf numFmtId="0" fontId="107" fillId="0" borderId="0" xfId="11" applyFont="1" applyFill="1" applyAlignment="1">
      <alignment horizontal="left"/>
    </xf>
    <xf numFmtId="41" fontId="107" fillId="0" borderId="4" xfId="12" applyNumberFormat="1" applyFont="1" applyFill="1" applyBorder="1"/>
    <xf numFmtId="166" fontId="107" fillId="0" borderId="0" xfId="1" applyNumberFormat="1" applyFont="1" applyFill="1" applyAlignment="1"/>
    <xf numFmtId="166" fontId="107" fillId="0" borderId="67" xfId="1" applyNumberFormat="1" applyFont="1" applyFill="1" applyBorder="1" applyAlignment="1"/>
    <xf numFmtId="166" fontId="107" fillId="0" borderId="0" xfId="1" applyNumberFormat="1" applyFont="1"/>
    <xf numFmtId="0" fontId="107" fillId="0" borderId="0" xfId="3" applyFont="1" applyFill="1" applyAlignment="1">
      <alignment vertical="center"/>
    </xf>
    <xf numFmtId="41" fontId="106" fillId="0" borderId="5" xfId="12" applyNumberFormat="1" applyFont="1" applyFill="1" applyBorder="1"/>
    <xf numFmtId="41" fontId="107" fillId="0" borderId="5" xfId="12" applyNumberFormat="1" applyFont="1" applyFill="1" applyBorder="1"/>
    <xf numFmtId="166" fontId="107" fillId="0" borderId="11" xfId="1" applyNumberFormat="1" applyFont="1" applyFill="1" applyBorder="1" applyAlignment="1"/>
    <xf numFmtId="41" fontId="106" fillId="0" borderId="6" xfId="12" applyNumberFormat="1" applyFont="1" applyFill="1" applyBorder="1"/>
    <xf numFmtId="41" fontId="107" fillId="0" borderId="6" xfId="12" applyNumberFormat="1" applyFont="1" applyFill="1" applyBorder="1"/>
    <xf numFmtId="0" fontId="114" fillId="0" borderId="0" xfId="2" applyFont="1" applyFill="1" applyAlignment="1"/>
    <xf numFmtId="168" fontId="107" fillId="0" borderId="0" xfId="1" applyNumberFormat="1" applyFont="1" applyFill="1" applyAlignment="1"/>
    <xf numFmtId="169" fontId="107" fillId="0" borderId="0" xfId="2" applyNumberFormat="1" applyFont="1"/>
    <xf numFmtId="41" fontId="106" fillId="0" borderId="4" xfId="12" applyNumberFormat="1" applyFont="1" applyFill="1" applyBorder="1"/>
    <xf numFmtId="37" fontId="107" fillId="0" borderId="10" xfId="1" applyNumberFormat="1" applyFont="1" applyFill="1" applyBorder="1" applyAlignment="1"/>
    <xf numFmtId="37" fontId="110" fillId="0" borderId="0" xfId="50" applyNumberFormat="1" applyFont="1" applyFill="1" applyAlignment="1">
      <alignment vertical="top"/>
    </xf>
    <xf numFmtId="37" fontId="107" fillId="0" borderId="11" xfId="1" applyNumberFormat="1" applyFont="1" applyFill="1" applyBorder="1" applyAlignment="1"/>
    <xf numFmtId="41" fontId="107" fillId="0" borderId="0" xfId="2" applyNumberFormat="1" applyFont="1" applyFill="1"/>
    <xf numFmtId="0" fontId="107" fillId="0" borderId="0" xfId="11" applyFont="1" applyFill="1" applyAlignment="1">
      <alignment horizontal="left" vertical="center"/>
    </xf>
    <xf numFmtId="0" fontId="107" fillId="0" borderId="0" xfId="11" applyFont="1" applyFill="1" applyAlignment="1">
      <alignment vertical="center"/>
    </xf>
    <xf numFmtId="37" fontId="107" fillId="0" borderId="12" xfId="1" applyNumberFormat="1" applyFont="1" applyFill="1" applyBorder="1" applyAlignment="1"/>
    <xf numFmtId="166" fontId="107" fillId="0" borderId="0" xfId="46" applyNumberFormat="1" applyFont="1" applyFill="1" applyAlignment="1"/>
    <xf numFmtId="166" fontId="107" fillId="0" borderId="0" xfId="11" applyNumberFormat="1" applyFont="1" applyFill="1"/>
    <xf numFmtId="41" fontId="106" fillId="0" borderId="3" xfId="11" applyNumberFormat="1" applyFont="1" applyFill="1" applyBorder="1"/>
    <xf numFmtId="41" fontId="107" fillId="0" borderId="3" xfId="11" applyNumberFormat="1" applyFont="1" applyFill="1" applyBorder="1"/>
    <xf numFmtId="41" fontId="106" fillId="0" borderId="0" xfId="11" applyNumberFormat="1" applyFont="1" applyFill="1" applyBorder="1"/>
    <xf numFmtId="41" fontId="106" fillId="0" borderId="64" xfId="11" applyNumberFormat="1" applyFont="1" applyFill="1" applyBorder="1"/>
    <xf numFmtId="41" fontId="107" fillId="0" borderId="64" xfId="11" applyNumberFormat="1" applyFont="1" applyFill="1" applyBorder="1"/>
    <xf numFmtId="168" fontId="107" fillId="0" borderId="4" xfId="1" applyNumberFormat="1" applyFont="1" applyFill="1" applyBorder="1" applyAlignment="1"/>
    <xf numFmtId="37" fontId="107" fillId="0" borderId="6" xfId="1" applyNumberFormat="1" applyFont="1" applyFill="1" applyBorder="1" applyAlignment="1"/>
    <xf numFmtId="37" fontId="107" fillId="0" borderId="0" xfId="1" applyNumberFormat="1" applyFont="1" applyFill="1" applyBorder="1" applyAlignment="1"/>
    <xf numFmtId="166" fontId="107" fillId="0" borderId="3" xfId="46" applyNumberFormat="1" applyFont="1" applyFill="1" applyBorder="1" applyAlignment="1"/>
    <xf numFmtId="41" fontId="106" fillId="0" borderId="67" xfId="12" applyNumberFormat="1" applyFont="1" applyFill="1" applyBorder="1"/>
    <xf numFmtId="41" fontId="107" fillId="0" borderId="67" xfId="12" applyNumberFormat="1" applyFont="1" applyFill="1" applyBorder="1"/>
    <xf numFmtId="41" fontId="106" fillId="0" borderId="0" xfId="11" applyNumberFormat="1" applyFont="1" applyFill="1"/>
    <xf numFmtId="41" fontId="107" fillId="0" borderId="0" xfId="11" applyNumberFormat="1" applyFont="1" applyFill="1"/>
    <xf numFmtId="41" fontId="107" fillId="0" borderId="0" xfId="11" applyNumberFormat="1" applyFont="1" applyFill="1" applyAlignment="1">
      <alignment vertical="center"/>
    </xf>
    <xf numFmtId="41" fontId="107" fillId="0" borderId="0" xfId="11" applyNumberFormat="1" applyFont="1" applyFill="1" applyBorder="1" applyAlignment="1">
      <alignment vertical="center"/>
    </xf>
    <xf numFmtId="168" fontId="107" fillId="0" borderId="7" xfId="1" applyNumberFormat="1" applyFont="1" applyFill="1" applyBorder="1" applyAlignment="1">
      <alignment vertical="center"/>
    </xf>
    <xf numFmtId="41" fontId="107" fillId="0" borderId="0" xfId="2" applyNumberFormat="1" applyFont="1" applyAlignment="1">
      <alignment vertical="center"/>
    </xf>
    <xf numFmtId="166" fontId="107" fillId="0" borderId="0" xfId="11" applyNumberFormat="1" applyFont="1" applyFill="1" applyBorder="1"/>
    <xf numFmtId="0" fontId="107" fillId="0" borderId="0" xfId="11" applyFont="1" applyFill="1" applyBorder="1"/>
    <xf numFmtId="166" fontId="107" fillId="0" borderId="0" xfId="2" applyNumberFormat="1" applyFont="1" applyFill="1" applyAlignment="1">
      <alignment horizontal="center"/>
    </xf>
    <xf numFmtId="166" fontId="107" fillId="0" borderId="0" xfId="2" applyNumberFormat="1" applyFont="1" applyFill="1" applyAlignment="1"/>
    <xf numFmtId="166" fontId="106" fillId="0" borderId="0" xfId="2" applyNumberFormat="1" applyFont="1" applyFill="1" applyAlignment="1">
      <alignment horizontal="center"/>
    </xf>
    <xf numFmtId="0" fontId="106" fillId="0" borderId="0" xfId="2" applyFont="1" applyFill="1" applyBorder="1" applyAlignment="1"/>
    <xf numFmtId="0" fontId="107" fillId="0" borderId="0" xfId="2" applyNumberFormat="1" applyFont="1" applyFill="1" applyBorder="1" applyAlignment="1"/>
    <xf numFmtId="0" fontId="106" fillId="0" borderId="0" xfId="2" applyFont="1" applyFill="1" applyBorder="1" applyAlignment="1">
      <alignment horizontal="center" vertical="top"/>
    </xf>
    <xf numFmtId="0" fontId="115" fillId="0" borderId="0" xfId="2" applyFont="1" applyFill="1" applyBorder="1" applyAlignment="1"/>
    <xf numFmtId="41" fontId="116" fillId="0" borderId="0" xfId="11" applyNumberFormat="1" applyFont="1" applyFill="1"/>
    <xf numFmtId="41" fontId="108" fillId="0" borderId="0" xfId="11" applyNumberFormat="1" applyFont="1" applyFill="1"/>
    <xf numFmtId="0" fontId="106" fillId="0" borderId="0" xfId="1" applyNumberFormat="1" applyFont="1" applyFill="1" applyAlignment="1">
      <alignment vertical="top"/>
    </xf>
    <xf numFmtId="0" fontId="107" fillId="0" borderId="0" xfId="1" applyNumberFormat="1" applyFont="1" applyFill="1" applyAlignment="1">
      <alignment horizontal="center" vertical="top"/>
    </xf>
    <xf numFmtId="166" fontId="106" fillId="0" borderId="0" xfId="1" applyNumberFormat="1" applyFont="1" applyFill="1" applyAlignment="1">
      <alignment vertical="top"/>
    </xf>
    <xf numFmtId="166" fontId="107" fillId="0" borderId="0" xfId="1" applyNumberFormat="1" applyFont="1" applyFill="1" applyAlignment="1">
      <alignment vertical="top"/>
    </xf>
    <xf numFmtId="0" fontId="114" fillId="0" borderId="0" xfId="1" applyNumberFormat="1" applyFont="1" applyFill="1" applyAlignment="1">
      <alignment vertical="top"/>
    </xf>
    <xf numFmtId="166" fontId="107" fillId="0" borderId="0" xfId="2" applyNumberFormat="1" applyFont="1" applyFill="1" applyAlignment="1">
      <alignment vertical="top"/>
    </xf>
    <xf numFmtId="0" fontId="106" fillId="0" borderId="0" xfId="1" quotePrefix="1" applyNumberFormat="1" applyFont="1" applyFill="1" applyBorder="1" applyAlignment="1">
      <alignment horizontal="center" vertical="top"/>
    </xf>
    <xf numFmtId="0" fontId="106" fillId="0" borderId="0" xfId="1" applyNumberFormat="1" applyFont="1" applyFill="1" applyBorder="1" applyAlignment="1">
      <alignment vertical="top"/>
    </xf>
    <xf numFmtId="0" fontId="107" fillId="0" borderId="0" xfId="1" quotePrefix="1" applyNumberFormat="1" applyFont="1" applyFill="1" applyBorder="1" applyAlignment="1">
      <alignment horizontal="center" vertical="top"/>
    </xf>
    <xf numFmtId="0" fontId="106" fillId="0" borderId="0" xfId="1" applyNumberFormat="1" applyFont="1" applyFill="1" applyBorder="1" applyAlignment="1">
      <alignment horizontal="center" vertical="top"/>
    </xf>
    <xf numFmtId="167" fontId="107" fillId="0" borderId="0" xfId="1" quotePrefix="1" applyNumberFormat="1" applyFont="1" applyFill="1" applyBorder="1" applyAlignment="1">
      <alignment horizontal="center" vertical="top"/>
    </xf>
    <xf numFmtId="166" fontId="106" fillId="0" borderId="0" xfId="2" applyNumberFormat="1" applyFont="1" applyFill="1" applyAlignment="1">
      <alignment vertical="top"/>
    </xf>
    <xf numFmtId="0" fontId="106" fillId="0" borderId="0" xfId="5" applyFont="1" applyFill="1" applyAlignment="1">
      <alignment horizontal="center" vertical="top"/>
    </xf>
    <xf numFmtId="0" fontId="107" fillId="0" borderId="0" xfId="2" applyNumberFormat="1" applyFont="1" applyFill="1" applyAlignment="1" applyProtection="1">
      <alignment vertical="top"/>
      <protection locked="0"/>
    </xf>
    <xf numFmtId="3" fontId="107" fillId="0" borderId="0" xfId="1" applyNumberFormat="1" applyFont="1" applyFill="1" applyAlignment="1">
      <alignment vertical="top"/>
    </xf>
    <xf numFmtId="3" fontId="107" fillId="0" borderId="0" xfId="1" applyNumberFormat="1" applyFont="1" applyFill="1" applyBorder="1" applyAlignment="1">
      <alignment vertical="top"/>
    </xf>
    <xf numFmtId="0" fontId="107" fillId="0" borderId="0" xfId="2" applyFont="1" applyFill="1" applyAlignment="1" applyProtection="1">
      <alignment horizontal="center" vertical="top"/>
      <protection locked="0"/>
    </xf>
    <xf numFmtId="166" fontId="107" fillId="0" borderId="0" xfId="2" applyNumberFormat="1" applyFont="1" applyFill="1" applyAlignment="1" applyProtection="1">
      <alignment horizontal="center" vertical="top"/>
      <protection locked="0"/>
    </xf>
    <xf numFmtId="166" fontId="107" fillId="0" borderId="0" xfId="2" applyNumberFormat="1" applyFont="1" applyFill="1" applyAlignment="1" applyProtection="1">
      <alignment vertical="top"/>
      <protection locked="0"/>
    </xf>
    <xf numFmtId="0" fontId="107" fillId="0" borderId="0" xfId="2" applyFont="1" applyFill="1" applyAlignment="1" applyProtection="1">
      <alignment vertical="top"/>
      <protection locked="0"/>
    </xf>
    <xf numFmtId="0" fontId="106" fillId="0" borderId="0" xfId="2" applyNumberFormat="1" applyFont="1" applyFill="1" applyAlignment="1" applyProtection="1">
      <alignment vertical="top"/>
      <protection locked="0"/>
    </xf>
    <xf numFmtId="166" fontId="106" fillId="0" borderId="0" xfId="2" applyNumberFormat="1" applyFont="1" applyFill="1" applyBorder="1" applyAlignment="1" applyProtection="1">
      <alignment horizontal="center" vertical="top"/>
      <protection locked="0"/>
    </xf>
    <xf numFmtId="0" fontId="107" fillId="0" borderId="0" xfId="2" applyFont="1" applyFill="1" applyBorder="1" applyAlignment="1" applyProtection="1">
      <alignment horizontal="center" vertical="top"/>
      <protection locked="0"/>
    </xf>
    <xf numFmtId="166" fontId="107" fillId="0" borderId="0" xfId="2" applyNumberFormat="1" applyFont="1" applyFill="1" applyBorder="1" applyAlignment="1" applyProtection="1">
      <alignment horizontal="center" vertical="top"/>
      <protection locked="0"/>
    </xf>
    <xf numFmtId="0" fontId="107" fillId="0" borderId="0" xfId="2" applyFont="1" applyFill="1" applyBorder="1" applyAlignment="1" applyProtection="1">
      <alignment vertical="top"/>
      <protection locked="0"/>
    </xf>
    <xf numFmtId="166" fontId="110" fillId="0" borderId="0" xfId="1" applyNumberFormat="1" applyFont="1" applyFill="1" applyAlignment="1">
      <alignment vertical="top"/>
    </xf>
    <xf numFmtId="166" fontId="107" fillId="0" borderId="0" xfId="1" applyNumberFormat="1" applyFont="1" applyFill="1" applyBorder="1" applyAlignment="1">
      <alignment vertical="top"/>
    </xf>
    <xf numFmtId="0" fontId="106" fillId="0" borderId="0" xfId="2" applyNumberFormat="1" applyFont="1" applyFill="1" applyAlignment="1" applyProtection="1">
      <alignment vertical="center"/>
      <protection locked="0"/>
    </xf>
    <xf numFmtId="3" fontId="107" fillId="0" borderId="0" xfId="1" applyNumberFormat="1" applyFont="1" applyFill="1" applyAlignment="1">
      <alignment vertical="center"/>
    </xf>
    <xf numFmtId="3" fontId="107" fillId="0" borderId="0" xfId="1" applyNumberFormat="1" applyFont="1" applyFill="1" applyBorder="1" applyAlignment="1">
      <alignment vertical="center"/>
    </xf>
    <xf numFmtId="0" fontId="107" fillId="0" borderId="0" xfId="2" applyFont="1" applyFill="1" applyAlignment="1" applyProtection="1">
      <alignment horizontal="center" vertical="center"/>
      <protection locked="0"/>
    </xf>
    <xf numFmtId="166" fontId="106" fillId="0" borderId="7" xfId="2" applyNumberFormat="1" applyFont="1" applyFill="1" applyBorder="1" applyAlignment="1" applyProtection="1">
      <alignment horizontal="center" vertical="center"/>
      <protection locked="0"/>
    </xf>
    <xf numFmtId="166" fontId="107" fillId="0" borderId="7" xfId="2" applyNumberFormat="1" applyFont="1" applyFill="1" applyBorder="1" applyAlignment="1" applyProtection="1">
      <alignment horizontal="center" vertical="center"/>
      <protection locked="0"/>
    </xf>
    <xf numFmtId="0" fontId="107" fillId="0" borderId="0" xfId="2" applyFont="1" applyFill="1" applyAlignment="1" applyProtection="1">
      <alignment vertical="center"/>
      <protection locked="0"/>
    </xf>
    <xf numFmtId="3" fontId="106" fillId="0" borderId="0" xfId="1" applyNumberFormat="1" applyFont="1" applyFill="1" applyAlignment="1">
      <alignment vertical="top"/>
    </xf>
    <xf numFmtId="3" fontId="107" fillId="0" borderId="0" xfId="1" applyNumberFormat="1" applyFont="1" applyFill="1" applyBorder="1" applyAlignment="1">
      <alignment horizontal="center" vertical="top"/>
    </xf>
    <xf numFmtId="41" fontId="107" fillId="0" borderId="0" xfId="1" applyNumberFormat="1" applyFont="1" applyFill="1" applyBorder="1" applyAlignment="1">
      <alignment vertical="top"/>
    </xf>
    <xf numFmtId="41" fontId="107" fillId="0" borderId="0" xfId="1" applyNumberFormat="1" applyFont="1" applyFill="1" applyAlignment="1">
      <alignment vertical="top"/>
    </xf>
    <xf numFmtId="166" fontId="107" fillId="0" borderId="0" xfId="2" applyNumberFormat="1" applyFont="1" applyFill="1" applyAlignment="1">
      <alignment horizontal="center" vertical="top"/>
    </xf>
    <xf numFmtId="37" fontId="107" fillId="0" borderId="0" xfId="2" applyNumberFormat="1" applyFont="1" applyFill="1" applyAlignment="1">
      <alignment vertical="top"/>
    </xf>
    <xf numFmtId="166" fontId="107" fillId="0" borderId="0" xfId="1" applyNumberFormat="1" applyFont="1" applyFill="1" applyBorder="1" applyAlignment="1">
      <alignment horizontal="right" vertical="top"/>
    </xf>
    <xf numFmtId="43" fontId="108" fillId="0" borderId="0" xfId="1" applyFont="1" applyFill="1" applyBorder="1"/>
    <xf numFmtId="166" fontId="108" fillId="0" borderId="0" xfId="2" applyNumberFormat="1" applyFont="1" applyFill="1" applyBorder="1"/>
    <xf numFmtId="43" fontId="107" fillId="0" borderId="0" xfId="2" applyNumberFormat="1" applyFont="1" applyFill="1" applyBorder="1"/>
    <xf numFmtId="166" fontId="106" fillId="0" borderId="0" xfId="2" applyNumberFormat="1" applyFont="1" applyFill="1" applyAlignment="1">
      <alignment horizontal="center" vertical="top"/>
    </xf>
    <xf numFmtId="166" fontId="107" fillId="2" borderId="0" xfId="1" applyNumberFormat="1" applyFont="1" applyFill="1" applyBorder="1" applyAlignment="1">
      <alignment vertical="top"/>
    </xf>
    <xf numFmtId="166" fontId="107" fillId="2" borderId="0" xfId="2" applyNumberFormat="1" applyFont="1" applyFill="1"/>
    <xf numFmtId="0" fontId="106" fillId="2" borderId="0" xfId="2" applyFont="1" applyFill="1" applyBorder="1"/>
    <xf numFmtId="0" fontId="107" fillId="2" borderId="0" xfId="2" applyFont="1" applyFill="1"/>
    <xf numFmtId="0" fontId="106" fillId="2" borderId="0" xfId="2" applyFont="1" applyFill="1"/>
    <xf numFmtId="0" fontId="107" fillId="0" borderId="0" xfId="2" applyNumberFormat="1" applyFont="1" applyFill="1" applyBorder="1" applyAlignment="1">
      <alignment vertical="top"/>
    </xf>
    <xf numFmtId="0" fontId="107" fillId="0" borderId="0" xfId="2" applyFont="1" applyFill="1" applyBorder="1" applyAlignment="1">
      <alignment vertical="top"/>
    </xf>
    <xf numFmtId="0" fontId="115" fillId="0" borderId="0" xfId="2" applyFont="1" applyFill="1" applyBorder="1" applyAlignment="1">
      <alignment vertical="top"/>
    </xf>
    <xf numFmtId="9" fontId="107" fillId="0" borderId="0" xfId="6" applyFont="1" applyFill="1"/>
    <xf numFmtId="0" fontId="107" fillId="0" borderId="8" xfId="2" applyFont="1" applyFill="1" applyBorder="1"/>
    <xf numFmtId="0" fontId="107" fillId="0" borderId="9" xfId="2" applyFont="1" applyFill="1" applyBorder="1"/>
    <xf numFmtId="1" fontId="107" fillId="0" borderId="0" xfId="2" applyNumberFormat="1" applyFont="1" applyFill="1"/>
    <xf numFmtId="166" fontId="108" fillId="0" borderId="7" xfId="2" applyNumberFormat="1" applyFont="1" applyFill="1" applyBorder="1"/>
    <xf numFmtId="166" fontId="107" fillId="0" borderId="0" xfId="2" applyNumberFormat="1" applyFont="1" applyFill="1" applyBorder="1" applyAlignment="1" applyProtection="1">
      <alignment vertical="top"/>
      <protection locked="0"/>
    </xf>
    <xf numFmtId="0" fontId="107" fillId="0" borderId="0" xfId="2" applyFont="1" applyFill="1" applyAlignment="1">
      <alignment horizontal="left" vertical="top"/>
    </xf>
    <xf numFmtId="166" fontId="106" fillId="0" borderId="68" xfId="1" applyNumberFormat="1" applyFont="1" applyFill="1" applyBorder="1" applyAlignment="1">
      <alignment horizontal="right" vertical="top"/>
    </xf>
    <xf numFmtId="166" fontId="107" fillId="0" borderId="68" xfId="1" quotePrefix="1" applyNumberFormat="1" applyFont="1" applyFill="1" applyBorder="1" applyAlignment="1">
      <alignment vertical="top"/>
    </xf>
    <xf numFmtId="166" fontId="106" fillId="0" borderId="86" xfId="1" applyNumberFormat="1" applyFont="1" applyFill="1" applyBorder="1" applyAlignment="1">
      <alignment vertical="top"/>
    </xf>
    <xf numFmtId="166" fontId="107" fillId="0" borderId="0" xfId="1" applyNumberFormat="1" applyFont="1" applyFill="1" applyAlignment="1">
      <alignment horizontal="right" vertical="top"/>
    </xf>
    <xf numFmtId="166" fontId="107" fillId="0" borderId="0" xfId="1" applyNumberFormat="1" applyFont="1" applyFill="1" applyAlignment="1">
      <alignment horizontal="center" vertical="top"/>
    </xf>
    <xf numFmtId="166" fontId="106" fillId="0" borderId="5" xfId="1" applyNumberFormat="1" applyFont="1" applyFill="1" applyBorder="1" applyAlignment="1">
      <alignment horizontal="right" vertical="top"/>
    </xf>
    <xf numFmtId="166" fontId="107" fillId="0" borderId="5" xfId="1" applyNumberFormat="1" applyFont="1" applyFill="1" applyBorder="1" applyAlignment="1">
      <alignment horizontal="right" vertical="top"/>
    </xf>
    <xf numFmtId="166" fontId="106" fillId="0" borderId="5" xfId="46" applyNumberFormat="1" applyFont="1" applyFill="1" applyBorder="1" applyAlignment="1">
      <alignment vertical="top"/>
    </xf>
    <xf numFmtId="166" fontId="107" fillId="0" borderId="5" xfId="1" applyNumberFormat="1" applyFont="1" applyFill="1" applyBorder="1" applyAlignment="1">
      <alignment vertical="top"/>
    </xf>
    <xf numFmtId="9" fontId="107" fillId="0" borderId="0" xfId="47" applyFont="1" applyFill="1" applyBorder="1"/>
    <xf numFmtId="166" fontId="106" fillId="0" borderId="5" xfId="1" applyNumberFormat="1" applyFont="1" applyFill="1" applyBorder="1" applyAlignment="1">
      <alignment vertical="top"/>
    </xf>
    <xf numFmtId="0" fontId="107" fillId="0" borderId="0" xfId="1" applyNumberFormat="1" applyFont="1" applyFill="1" applyAlignment="1">
      <alignment horizontal="center" vertical="center"/>
    </xf>
    <xf numFmtId="166" fontId="107" fillId="0" borderId="0" xfId="1" quotePrefix="1" applyNumberFormat="1" applyFont="1" applyFill="1" applyAlignment="1">
      <alignment vertical="top"/>
    </xf>
    <xf numFmtId="0" fontId="107" fillId="0" borderId="0" xfId="1" applyNumberFormat="1" applyFont="1" applyFill="1" applyAlignment="1">
      <alignment horizontal="left" vertical="top"/>
    </xf>
    <xf numFmtId="166" fontId="106" fillId="0" borderId="6" xfId="1" applyNumberFormat="1" applyFont="1" applyFill="1" applyBorder="1" applyAlignment="1">
      <alignment horizontal="right" vertical="top"/>
    </xf>
    <xf numFmtId="166" fontId="107" fillId="0" borderId="6" xfId="1" applyNumberFormat="1" applyFont="1" applyFill="1" applyBorder="1" applyAlignment="1">
      <alignment horizontal="right" vertical="top"/>
    </xf>
    <xf numFmtId="166" fontId="106" fillId="0" borderId="6" xfId="46" applyNumberFormat="1" applyFont="1" applyFill="1" applyBorder="1" applyAlignment="1">
      <alignment vertical="top"/>
    </xf>
    <xf numFmtId="166" fontId="107" fillId="0" borderId="6" xfId="1" applyNumberFormat="1" applyFont="1" applyFill="1" applyBorder="1" applyAlignment="1">
      <alignment vertical="top"/>
    </xf>
    <xf numFmtId="166" fontId="106" fillId="0" borderId="3" xfId="1" applyNumberFormat="1" applyFont="1" applyFill="1" applyBorder="1" applyAlignment="1">
      <alignment horizontal="right" vertical="top"/>
    </xf>
    <xf numFmtId="166" fontId="107" fillId="0" borderId="3" xfId="1" applyNumberFormat="1" applyFont="1" applyFill="1" applyBorder="1" applyAlignment="1">
      <alignment horizontal="right" vertical="top"/>
    </xf>
    <xf numFmtId="166" fontId="108" fillId="0" borderId="0" xfId="1" applyNumberFormat="1" applyFont="1" applyFill="1" applyBorder="1"/>
    <xf numFmtId="166" fontId="106" fillId="0" borderId="0" xfId="1" applyNumberFormat="1" applyFont="1" applyFill="1" applyAlignment="1">
      <alignment horizontal="right" vertical="top"/>
    </xf>
    <xf numFmtId="0" fontId="110" fillId="0" borderId="0" xfId="50" applyFont="1" applyFill="1" applyAlignment="1">
      <alignment vertical="top"/>
    </xf>
    <xf numFmtId="166" fontId="107" fillId="0" borderId="0" xfId="1" applyNumberFormat="1" applyFont="1" applyFill="1" applyBorder="1" applyAlignment="1">
      <alignment horizontal="center" vertical="top"/>
    </xf>
    <xf numFmtId="0" fontId="107" fillId="0" borderId="0" xfId="939" applyNumberFormat="1" applyFont="1" applyFill="1" applyAlignment="1">
      <alignment vertical="top"/>
    </xf>
    <xf numFmtId="0" fontId="106" fillId="0" borderId="0" xfId="2" applyFont="1" applyFill="1" applyBorder="1"/>
    <xf numFmtId="166" fontId="106" fillId="0" borderId="6" xfId="1" applyNumberFormat="1" applyFont="1" applyFill="1" applyBorder="1" applyAlignment="1">
      <alignment vertical="top"/>
    </xf>
    <xf numFmtId="166" fontId="106" fillId="0" borderId="2" xfId="1" applyNumberFormat="1" applyFont="1" applyFill="1" applyBorder="1" applyAlignment="1">
      <alignment horizontal="right" vertical="top"/>
    </xf>
    <xf numFmtId="166" fontId="106" fillId="0" borderId="0" xfId="1" applyNumberFormat="1" applyFont="1" applyFill="1" applyBorder="1" applyAlignment="1">
      <alignment horizontal="right" vertical="top"/>
    </xf>
    <xf numFmtId="166" fontId="107" fillId="0" borderId="2" xfId="1" applyNumberFormat="1" applyFont="1" applyFill="1" applyBorder="1" applyAlignment="1">
      <alignment horizontal="right" vertical="top"/>
    </xf>
    <xf numFmtId="0" fontId="106" fillId="3" borderId="0" xfId="2" applyFont="1" applyFill="1" applyAlignment="1" applyProtection="1">
      <alignment vertical="top"/>
      <protection locked="0"/>
    </xf>
    <xf numFmtId="0" fontId="107" fillId="3" borderId="0" xfId="1" applyNumberFormat="1" applyFont="1" applyFill="1" applyAlignment="1">
      <alignment vertical="top"/>
    </xf>
    <xf numFmtId="166" fontId="106" fillId="0" borderId="0" xfId="1" applyNumberFormat="1" applyFont="1" applyFill="1" applyBorder="1" applyAlignment="1">
      <alignment vertical="top"/>
    </xf>
    <xf numFmtId="0" fontId="107" fillId="0" borderId="0" xfId="2" applyFont="1" applyFill="1" applyBorder="1" applyAlignment="1" applyProtection="1">
      <alignment horizontal="center" vertical="center"/>
      <protection locked="0"/>
    </xf>
    <xf numFmtId="0" fontId="107" fillId="0" borderId="0" xfId="2" applyFont="1" applyFill="1" applyBorder="1" applyAlignment="1" applyProtection="1">
      <alignment vertical="center"/>
      <protection locked="0"/>
    </xf>
    <xf numFmtId="3" fontId="118" fillId="0" borderId="0" xfId="1" applyNumberFormat="1" applyFont="1" applyFill="1" applyAlignment="1">
      <alignment vertical="center"/>
    </xf>
    <xf numFmtId="3" fontId="118" fillId="0" borderId="0" xfId="1" applyNumberFormat="1" applyFont="1" applyFill="1" applyBorder="1" applyAlignment="1">
      <alignment vertical="center"/>
    </xf>
    <xf numFmtId="0" fontId="118" fillId="0" borderId="0" xfId="2" applyFont="1" applyFill="1" applyBorder="1" applyAlignment="1" applyProtection="1">
      <alignment horizontal="center" vertical="center"/>
      <protection locked="0"/>
    </xf>
    <xf numFmtId="166" fontId="117" fillId="0" borderId="0" xfId="2" applyNumberFormat="1" applyFont="1" applyFill="1" applyBorder="1" applyAlignment="1" applyProtection="1">
      <alignment horizontal="center" vertical="center"/>
      <protection locked="0"/>
    </xf>
    <xf numFmtId="0" fontId="118" fillId="0" borderId="0" xfId="2" applyFont="1" applyFill="1" applyBorder="1" applyAlignment="1" applyProtection="1">
      <alignment vertical="center"/>
      <protection locked="0"/>
    </xf>
    <xf numFmtId="0" fontId="118" fillId="0" borderId="0" xfId="2" applyFont="1" applyFill="1" applyAlignment="1">
      <alignment vertical="center"/>
    </xf>
    <xf numFmtId="166" fontId="118" fillId="0" borderId="0" xfId="2" applyNumberFormat="1" applyFont="1" applyFill="1" applyAlignment="1">
      <alignment vertical="center"/>
    </xf>
    <xf numFmtId="0" fontId="106" fillId="0" borderId="0" xfId="0" applyFont="1" applyFill="1" applyAlignment="1">
      <alignment vertical="top"/>
    </xf>
    <xf numFmtId="0" fontId="118" fillId="0" borderId="0" xfId="2" applyFont="1" applyFill="1" applyAlignment="1" applyProtection="1">
      <alignment horizontal="center" vertical="center"/>
      <protection locked="0"/>
    </xf>
    <xf numFmtId="10" fontId="118" fillId="0" borderId="0" xfId="47" applyNumberFormat="1" applyFont="1" applyFill="1" applyAlignment="1">
      <alignment vertical="center"/>
    </xf>
    <xf numFmtId="0" fontId="107" fillId="0" borderId="0" xfId="0" applyFont="1" applyFill="1" applyAlignment="1">
      <alignment horizontal="left" vertical="top" indent="2"/>
    </xf>
    <xf numFmtId="166" fontId="106" fillId="0" borderId="0" xfId="930" applyNumberFormat="1" applyFont="1" applyFill="1"/>
    <xf numFmtId="166" fontId="107" fillId="0" borderId="0" xfId="930" applyNumberFormat="1" applyFont="1" applyFill="1"/>
    <xf numFmtId="0" fontId="107" fillId="0" borderId="0" xfId="930" applyFont="1" applyFill="1"/>
    <xf numFmtId="166" fontId="106" fillId="0" borderId="0" xfId="2" applyNumberFormat="1" applyFont="1" applyFill="1" applyBorder="1" applyAlignment="1" applyProtection="1">
      <alignment horizontal="center" vertical="center"/>
      <protection locked="0"/>
    </xf>
    <xf numFmtId="166" fontId="107" fillId="0" borderId="0" xfId="2" applyNumberFormat="1" applyFont="1" applyFill="1" applyBorder="1" applyAlignment="1" applyProtection="1">
      <alignment horizontal="center" vertical="center"/>
      <protection locked="0"/>
    </xf>
    <xf numFmtId="0" fontId="110" fillId="0" borderId="0" xfId="0" applyFont="1" applyFill="1" applyAlignment="1">
      <alignment horizontal="left" vertical="top"/>
    </xf>
    <xf numFmtId="0" fontId="111" fillId="0" borderId="0" xfId="0" applyFont="1" applyFill="1" applyAlignment="1">
      <alignment horizontal="left" vertical="top"/>
    </xf>
    <xf numFmtId="0" fontId="110" fillId="0" borderId="0" xfId="0" applyFont="1" applyFill="1" applyAlignment="1">
      <alignment horizontal="left" vertical="top" indent="2"/>
    </xf>
    <xf numFmtId="43" fontId="107" fillId="0" borderId="0" xfId="2" applyNumberFormat="1" applyFont="1" applyFill="1" applyAlignment="1">
      <alignment vertical="center"/>
    </xf>
    <xf numFmtId="0" fontId="110" fillId="0" borderId="0" xfId="0" applyFont="1" applyFill="1" applyAlignment="1">
      <alignment vertical="top"/>
    </xf>
    <xf numFmtId="166" fontId="107" fillId="0" borderId="0" xfId="2" applyNumberFormat="1" applyFont="1" applyFill="1" applyBorder="1" applyAlignment="1">
      <alignment horizontal="center" vertical="top"/>
    </xf>
    <xf numFmtId="37" fontId="107" fillId="0" borderId="0" xfId="2" applyNumberFormat="1" applyFont="1" applyFill="1" applyBorder="1" applyAlignment="1">
      <alignment horizontal="center" vertical="top"/>
    </xf>
    <xf numFmtId="37" fontId="107" fillId="0" borderId="0" xfId="2" applyNumberFormat="1" applyFont="1" applyFill="1" applyBorder="1" applyAlignment="1">
      <alignment vertical="top"/>
    </xf>
    <xf numFmtId="43" fontId="112" fillId="0" borderId="0" xfId="46" applyFont="1" applyFill="1"/>
    <xf numFmtId="41" fontId="113" fillId="0" borderId="0" xfId="2" applyNumberFormat="1" applyFont="1" applyFill="1"/>
    <xf numFmtId="0" fontId="106" fillId="0" borderId="0" xfId="0" applyFont="1" applyFill="1" applyBorder="1" applyAlignment="1">
      <alignment horizontal="center" vertical="top"/>
    </xf>
    <xf numFmtId="0" fontId="106" fillId="0" borderId="0" xfId="0" applyNumberFormat="1" applyFont="1" applyFill="1" applyBorder="1" applyAlignment="1">
      <alignment horizontal="center" vertical="top"/>
    </xf>
    <xf numFmtId="0" fontId="110" fillId="0" borderId="0" xfId="50" applyFont="1" applyFill="1" applyBorder="1" applyAlignment="1">
      <alignment vertical="top"/>
    </xf>
    <xf numFmtId="0" fontId="106" fillId="0" borderId="0" xfId="1403" applyFont="1" applyFill="1"/>
    <xf numFmtId="0" fontId="107" fillId="0" borderId="0" xfId="1403" applyFont="1" applyFill="1"/>
    <xf numFmtId="0" fontId="107" fillId="0" borderId="0" xfId="1406" applyFont="1" applyFill="1" applyAlignment="1">
      <alignment vertical="top"/>
    </xf>
    <xf numFmtId="0" fontId="110" fillId="0" borderId="0" xfId="0" applyFont="1" applyFill="1" applyAlignment="1">
      <alignment vertical="top" wrapText="1"/>
    </xf>
    <xf numFmtId="0" fontId="110" fillId="39" borderId="0" xfId="160" applyFont="1" applyFill="1" applyAlignment="1"/>
    <xf numFmtId="0" fontId="110" fillId="39" borderId="0" xfId="160" applyFont="1" applyFill="1"/>
    <xf numFmtId="0" fontId="107" fillId="0" borderId="0" xfId="156" applyFont="1" applyFill="1" applyBorder="1"/>
    <xf numFmtId="166" fontId="107" fillId="0" borderId="0" xfId="46" applyNumberFormat="1" applyFont="1" applyFill="1" applyBorder="1"/>
    <xf numFmtId="0" fontId="110" fillId="0" borderId="0" xfId="160" applyFont="1" applyFill="1" applyAlignment="1"/>
    <xf numFmtId="0" fontId="110" fillId="0" borderId="0" xfId="160" applyFont="1" applyFill="1"/>
    <xf numFmtId="0" fontId="107" fillId="0" borderId="0" xfId="156" applyNumberFormat="1" applyFont="1" applyFill="1"/>
    <xf numFmtId="166" fontId="109" fillId="0" borderId="0" xfId="1502" applyNumberFormat="1" applyFont="1" applyAlignment="1">
      <alignment vertical="top"/>
    </xf>
    <xf numFmtId="0" fontId="107" fillId="0" borderId="0" xfId="156" applyFont="1"/>
    <xf numFmtId="0" fontId="107" fillId="0" borderId="0" xfId="50" applyFont="1" applyAlignment="1">
      <alignment vertical="top"/>
    </xf>
    <xf numFmtId="0" fontId="107" fillId="0" borderId="0" xfId="14" quotePrefix="1" applyNumberFormat="1" applyFont="1" applyFill="1" applyAlignment="1">
      <alignment horizontal="left" vertical="top"/>
    </xf>
    <xf numFmtId="0" fontId="107" fillId="0" borderId="0" xfId="1410" applyNumberFormat="1" applyFont="1" applyFill="1" applyAlignment="1">
      <alignment vertical="top"/>
      <protection locked="0"/>
    </xf>
    <xf numFmtId="0" fontId="107" fillId="0" borderId="0" xfId="1410" applyFont="1" applyFill="1" applyAlignment="1">
      <alignment vertical="top"/>
      <protection locked="0"/>
    </xf>
    <xf numFmtId="0" fontId="107" fillId="0" borderId="0" xfId="1410" applyNumberFormat="1" applyFont="1" applyFill="1" applyBorder="1" applyAlignment="1">
      <alignment vertical="top"/>
      <protection locked="0"/>
    </xf>
    <xf numFmtId="37" fontId="106" fillId="0" borderId="0" xfId="1410" applyNumberFormat="1" applyFont="1" applyFill="1" applyAlignment="1">
      <alignment vertical="top"/>
      <protection locked="0"/>
    </xf>
    <xf numFmtId="168" fontId="107" fillId="0" borderId="0" xfId="1411" applyNumberFormat="1" applyFont="1" applyFill="1" applyBorder="1" applyAlignment="1" applyProtection="1">
      <alignment vertical="top"/>
      <protection locked="0"/>
    </xf>
    <xf numFmtId="0" fontId="107" fillId="0" borderId="0" xfId="1410" applyFont="1" applyFill="1" applyAlignment="1">
      <alignment horizontal="left" vertical="top"/>
      <protection locked="0"/>
    </xf>
    <xf numFmtId="203" fontId="107" fillId="0" borderId="0" xfId="1412" applyFont="1" applyFill="1"/>
    <xf numFmtId="203" fontId="106" fillId="0" borderId="0" xfId="1412" applyNumberFormat="1" applyFont="1" applyFill="1" applyProtection="1">
      <protection locked="0"/>
    </xf>
    <xf numFmtId="203" fontId="106" fillId="0" borderId="0" xfId="1412" applyNumberFormat="1" applyFont="1" applyFill="1" applyBorder="1"/>
    <xf numFmtId="203" fontId="107" fillId="0" borderId="0" xfId="1412" applyFont="1" applyFill="1" applyBorder="1"/>
    <xf numFmtId="0" fontId="106" fillId="0" borderId="0" xfId="1410" applyFont="1" applyFill="1" applyAlignment="1">
      <alignment vertical="top"/>
      <protection locked="0"/>
    </xf>
    <xf numFmtId="0" fontId="107" fillId="0" borderId="0" xfId="1414" quotePrefix="1" applyFont="1" applyFill="1" applyAlignment="1" applyProtection="1">
      <alignment horizontal="left" vertical="top" indent="1"/>
    </xf>
    <xf numFmtId="203" fontId="106" fillId="0" borderId="69" xfId="1412" applyNumberFormat="1" applyFont="1" applyFill="1" applyBorder="1"/>
    <xf numFmtId="203" fontId="107" fillId="0" borderId="69" xfId="1412" applyFont="1" applyFill="1" applyBorder="1"/>
    <xf numFmtId="203" fontId="106" fillId="0" borderId="6" xfId="1412" applyNumberFormat="1" applyFont="1" applyFill="1" applyBorder="1"/>
    <xf numFmtId="203" fontId="107" fillId="0" borderId="6" xfId="1412" applyFont="1" applyFill="1" applyBorder="1"/>
    <xf numFmtId="0" fontId="107" fillId="0" borderId="0" xfId="1410" applyFont="1" applyFill="1" applyBorder="1" applyAlignment="1">
      <alignment vertical="top"/>
      <protection locked="0"/>
    </xf>
    <xf numFmtId="0" fontId="107" fillId="0" borderId="0" xfId="234" applyFont="1" applyFill="1" applyBorder="1" applyAlignment="1">
      <alignment horizontal="center"/>
    </xf>
    <xf numFmtId="0" fontId="107" fillId="0" borderId="0" xfId="234" applyFont="1" applyFill="1" applyBorder="1"/>
    <xf numFmtId="166" fontId="107" fillId="0" borderId="0" xfId="1413" applyNumberFormat="1" applyFont="1" applyFill="1" applyBorder="1"/>
    <xf numFmtId="203" fontId="107" fillId="0" borderId="0" xfId="1412" applyFont="1" applyFill="1" applyProtection="1">
      <protection locked="0"/>
    </xf>
    <xf numFmtId="203" fontId="106" fillId="0" borderId="0" xfId="1412" applyNumberFormat="1" applyFont="1" applyFill="1" applyBorder="1" applyProtection="1">
      <protection locked="0"/>
    </xf>
    <xf numFmtId="203" fontId="106" fillId="0" borderId="5" xfId="1412" applyNumberFormat="1" applyFont="1" applyFill="1" applyBorder="1"/>
    <xf numFmtId="203" fontId="107" fillId="0" borderId="5" xfId="1412" applyFont="1" applyFill="1" applyBorder="1"/>
    <xf numFmtId="229" fontId="107" fillId="0" borderId="0" xfId="1410" applyNumberFormat="1" applyFont="1" applyFill="1" applyAlignment="1">
      <alignment vertical="top"/>
      <protection locked="0"/>
    </xf>
    <xf numFmtId="0" fontId="106" fillId="0" borderId="0" xfId="1392" applyFont="1" applyFill="1" applyAlignment="1">
      <alignment vertical="top"/>
      <protection locked="0"/>
    </xf>
    <xf numFmtId="203" fontId="107" fillId="0" borderId="0" xfId="1412" applyFont="1" applyFill="1" applyBorder="1" applyProtection="1">
      <protection locked="0"/>
    </xf>
    <xf numFmtId="0" fontId="107" fillId="0" borderId="0" xfId="1410" quotePrefix="1" applyFont="1" applyFill="1" applyAlignment="1" applyProtection="1">
      <alignment horizontal="left" vertical="top" indent="1"/>
    </xf>
    <xf numFmtId="203" fontId="107" fillId="0" borderId="0" xfId="1410" applyNumberFormat="1" applyFont="1" applyFill="1" applyAlignment="1">
      <alignment vertical="top"/>
      <protection locked="0"/>
    </xf>
    <xf numFmtId="0" fontId="107" fillId="0" borderId="0" xfId="1414" applyFont="1" applyFill="1" applyAlignment="1" applyProtection="1">
      <alignment vertical="top"/>
    </xf>
    <xf numFmtId="203" fontId="106" fillId="0" borderId="71" xfId="1412" applyNumberFormat="1" applyFont="1" applyFill="1" applyBorder="1"/>
    <xf numFmtId="203" fontId="107" fillId="0" borderId="71" xfId="1412" applyFont="1" applyFill="1" applyBorder="1"/>
    <xf numFmtId="0" fontId="107" fillId="0" borderId="0" xfId="1392" applyFont="1" applyFill="1" applyAlignment="1" applyProtection="1">
      <alignment vertical="top"/>
    </xf>
    <xf numFmtId="0" fontId="106" fillId="0" borderId="0" xfId="1410" applyFont="1" applyFill="1" applyAlignment="1">
      <alignment horizontal="left" vertical="top"/>
      <protection locked="0"/>
    </xf>
    <xf numFmtId="0" fontId="106" fillId="0" borderId="0" xfId="1414" applyFont="1" applyFill="1" applyAlignment="1">
      <alignment horizontal="left" vertical="center"/>
      <protection locked="0"/>
    </xf>
    <xf numFmtId="0" fontId="107" fillId="0" borderId="0" xfId="1410" applyFont="1" applyFill="1" applyAlignment="1">
      <alignment horizontal="left" vertical="center"/>
      <protection locked="0"/>
    </xf>
    <xf numFmtId="203" fontId="106" fillId="0" borderId="7" xfId="1412" applyNumberFormat="1" applyFont="1" applyFill="1" applyBorder="1" applyAlignment="1">
      <alignment vertical="center"/>
    </xf>
    <xf numFmtId="203" fontId="107" fillId="0" borderId="0" xfId="1412" applyFont="1" applyFill="1" applyBorder="1" applyAlignment="1">
      <alignment vertical="center"/>
    </xf>
    <xf numFmtId="203" fontId="106" fillId="0" borderId="0" xfId="1412" applyFont="1" applyFill="1" applyBorder="1"/>
    <xf numFmtId="203" fontId="106" fillId="0" borderId="0" xfId="1412" applyFont="1" applyFill="1" applyProtection="1">
      <protection locked="0"/>
    </xf>
    <xf numFmtId="0" fontId="106" fillId="0" borderId="0" xfId="1410" applyFont="1" applyFill="1" applyAlignment="1">
      <alignment vertical="center"/>
      <protection locked="0"/>
    </xf>
    <xf numFmtId="203" fontId="106" fillId="0" borderId="0" xfId="1412" applyFont="1" applyFill="1" applyBorder="1" applyProtection="1">
      <protection locked="0"/>
    </xf>
    <xf numFmtId="203" fontId="106" fillId="0" borderId="0" xfId="1410" applyNumberFormat="1" applyFont="1" applyFill="1" applyBorder="1" applyAlignment="1">
      <alignment vertical="center"/>
      <protection locked="0"/>
    </xf>
    <xf numFmtId="0" fontId="106" fillId="0" borderId="0" xfId="1410" applyFont="1" applyFill="1" applyBorder="1" applyAlignment="1">
      <alignment vertical="top"/>
      <protection locked="0"/>
    </xf>
    <xf numFmtId="0" fontId="107" fillId="0" borderId="0" xfId="1410" applyFont="1" applyFill="1" applyAlignment="1">
      <alignment vertical="center"/>
      <protection locked="0"/>
    </xf>
    <xf numFmtId="0" fontId="107" fillId="0" borderId="0" xfId="1410" applyFont="1" applyFill="1" applyAlignment="1" applyProtection="1">
      <alignment vertical="top"/>
    </xf>
    <xf numFmtId="203" fontId="106" fillId="0" borderId="0" xfId="1412" applyFont="1" applyFill="1" applyBorder="1" applyAlignment="1">
      <alignment vertical="center"/>
    </xf>
    <xf numFmtId="0" fontId="107" fillId="0" borderId="0" xfId="1414" quotePrefix="1" applyFont="1" applyFill="1" applyAlignment="1">
      <alignment horizontal="left" vertical="top" indent="1"/>
      <protection locked="0"/>
    </xf>
    <xf numFmtId="203" fontId="106" fillId="0" borderId="0" xfId="1412" applyFont="1" applyFill="1" applyAlignment="1" applyProtection="1">
      <alignment vertical="center"/>
      <protection locked="0"/>
    </xf>
    <xf numFmtId="203" fontId="106" fillId="0" borderId="0" xfId="1412" applyFont="1" applyFill="1" applyBorder="1" applyAlignment="1" applyProtection="1">
      <alignment vertical="center"/>
    </xf>
    <xf numFmtId="203" fontId="107" fillId="0" borderId="0" xfId="1412" applyFont="1" applyFill="1" applyBorder="1" applyAlignment="1" applyProtection="1">
      <alignment vertical="center"/>
    </xf>
    <xf numFmtId="203" fontId="107" fillId="0" borderId="7" xfId="1412" applyFont="1" applyFill="1" applyBorder="1" applyAlignment="1" applyProtection="1">
      <alignment vertical="center"/>
    </xf>
    <xf numFmtId="43" fontId="106" fillId="0" borderId="0" xfId="1415" applyNumberFormat="1" applyFont="1" applyFill="1" applyBorder="1" applyAlignment="1">
      <alignment horizontal="left" vertical="center"/>
    </xf>
    <xf numFmtId="43" fontId="107" fillId="0" borderId="0" xfId="1415" applyNumberFormat="1" applyFont="1" applyFill="1" applyBorder="1" applyAlignment="1">
      <alignment horizontal="left" vertical="center"/>
    </xf>
    <xf numFmtId="0" fontId="106" fillId="0" borderId="0" xfId="1410" applyFont="1" applyFill="1">
      <protection locked="0"/>
    </xf>
    <xf numFmtId="0" fontId="106" fillId="0" borderId="0" xfId="1410" applyFont="1" applyFill="1" applyAlignment="1">
      <alignment horizontal="center" vertical="top"/>
      <protection locked="0"/>
    </xf>
    <xf numFmtId="0" fontId="107" fillId="0" borderId="0" xfId="1410" applyFont="1" applyFill="1" applyBorder="1" applyAlignment="1">
      <alignment vertical="center"/>
      <protection locked="0"/>
    </xf>
    <xf numFmtId="178" fontId="107" fillId="0" borderId="0" xfId="1411" applyNumberFormat="1" applyFont="1" applyFill="1" applyBorder="1" applyAlignment="1">
      <alignment horizontal="center" vertical="top"/>
    </xf>
    <xf numFmtId="178" fontId="107" fillId="0" borderId="66" xfId="1411" applyNumberFormat="1" applyFont="1" applyFill="1" applyBorder="1" applyAlignment="1">
      <alignment horizontal="center" vertical="top"/>
    </xf>
    <xf numFmtId="166" fontId="107" fillId="0" borderId="0" xfId="1410" applyNumberFormat="1" applyFont="1" applyFill="1" applyBorder="1" applyAlignment="1">
      <alignment horizontal="center" vertical="top"/>
      <protection locked="0"/>
    </xf>
    <xf numFmtId="178" fontId="107" fillId="0" borderId="0" xfId="1415" applyNumberFormat="1" applyFont="1" applyFill="1" applyBorder="1" applyAlignment="1">
      <alignment horizontal="center" vertical="top"/>
    </xf>
    <xf numFmtId="178" fontId="107" fillId="0" borderId="66" xfId="1415" applyNumberFormat="1" applyFont="1" applyFill="1" applyBorder="1" applyAlignment="1">
      <alignment horizontal="center" vertical="top"/>
    </xf>
    <xf numFmtId="0" fontId="107" fillId="0" borderId="0" xfId="1410" applyFont="1" applyFill="1">
      <protection locked="0"/>
    </xf>
    <xf numFmtId="43" fontId="107" fillId="0" borderId="0" xfId="1415" applyNumberFormat="1" applyFont="1" applyFill="1" applyBorder="1" applyAlignment="1">
      <alignment horizontal="left" vertical="top"/>
    </xf>
    <xf numFmtId="178" fontId="107" fillId="0" borderId="0" xfId="1411" applyNumberFormat="1" applyFont="1" applyFill="1" applyBorder="1" applyAlignment="1">
      <alignment vertical="top"/>
    </xf>
    <xf numFmtId="37" fontId="107" fillId="0" borderId="0" xfId="50" applyNumberFormat="1" applyFont="1" applyFill="1"/>
    <xf numFmtId="0" fontId="107" fillId="0" borderId="0" xfId="50" applyFont="1" applyFill="1" applyAlignment="1"/>
    <xf numFmtId="166" fontId="107" fillId="0" borderId="0" xfId="1416" applyNumberFormat="1" applyFont="1" applyFill="1" applyAlignment="1"/>
    <xf numFmtId="227" fontId="107" fillId="0" borderId="0" xfId="1416" applyFont="1" applyFill="1" applyAlignment="1"/>
    <xf numFmtId="0" fontId="111" fillId="0" borderId="0" xfId="50" applyFont="1" applyFill="1" applyAlignment="1">
      <alignment vertical="top"/>
    </xf>
    <xf numFmtId="49" fontId="106" fillId="0" borderId="0" xfId="50" applyNumberFormat="1" applyFont="1" applyFill="1" applyAlignment="1">
      <alignment vertical="top"/>
    </xf>
    <xf numFmtId="37" fontId="107" fillId="0" borderId="0" xfId="50" applyNumberFormat="1" applyFont="1" applyFill="1" applyAlignment="1" applyProtection="1">
      <alignment vertical="top"/>
    </xf>
    <xf numFmtId="37" fontId="107" fillId="0" borderId="0" xfId="50" applyNumberFormat="1" applyFont="1" applyFill="1" applyAlignment="1" applyProtection="1">
      <alignment horizontal="centerContinuous" vertical="top"/>
    </xf>
    <xf numFmtId="37" fontId="107" fillId="0" borderId="0" xfId="1417" applyFont="1" applyFill="1" applyAlignment="1">
      <alignment vertical="top"/>
    </xf>
    <xf numFmtId="0" fontId="106" fillId="0" borderId="0" xfId="50" applyFont="1" applyFill="1"/>
    <xf numFmtId="166" fontId="106" fillId="0" borderId="0" xfId="1418" applyNumberFormat="1" applyFont="1" applyFill="1" applyAlignment="1">
      <alignment horizontal="center" vertical="top"/>
    </xf>
    <xf numFmtId="0" fontId="106" fillId="0" borderId="0" xfId="50" applyFont="1" applyFill="1" applyAlignment="1">
      <alignment horizontal="center"/>
    </xf>
    <xf numFmtId="37" fontId="106" fillId="0" borderId="0" xfId="1417" applyFont="1" applyFill="1" applyAlignment="1">
      <alignment vertical="top"/>
    </xf>
    <xf numFmtId="0" fontId="107" fillId="0" borderId="0" xfId="1410" applyFont="1" applyFill="1" applyBorder="1" applyProtection="1"/>
    <xf numFmtId="0" fontId="107" fillId="0" borderId="0" xfId="1410" applyFont="1" applyFill="1" applyBorder="1" applyAlignment="1" applyProtection="1">
      <alignment horizontal="left" indent="5"/>
    </xf>
    <xf numFmtId="0" fontId="106" fillId="0" borderId="59" xfId="2" applyFont="1" applyFill="1" applyBorder="1" applyAlignment="1">
      <alignment vertical="top"/>
    </xf>
    <xf numFmtId="166" fontId="107" fillId="4" borderId="59" xfId="46" applyNumberFormat="1" applyFont="1" applyFill="1" applyBorder="1" applyAlignment="1">
      <alignment vertical="top"/>
    </xf>
    <xf numFmtId="0" fontId="107" fillId="0" borderId="59" xfId="2" applyFont="1" applyFill="1" applyBorder="1" applyAlignment="1">
      <alignment vertical="center"/>
    </xf>
    <xf numFmtId="166" fontId="107" fillId="0" borderId="59" xfId="2" applyNumberFormat="1" applyFont="1" applyFill="1" applyBorder="1" applyAlignment="1">
      <alignment vertical="top"/>
    </xf>
    <xf numFmtId="166" fontId="107" fillId="0" borderId="59" xfId="46" applyNumberFormat="1" applyFont="1" applyFill="1" applyBorder="1" applyAlignment="1">
      <alignment vertical="center"/>
    </xf>
    <xf numFmtId="0" fontId="120" fillId="0" borderId="0" xfId="2" applyFont="1" applyFill="1"/>
    <xf numFmtId="0" fontId="119" fillId="0" borderId="0" xfId="1" applyNumberFormat="1" applyFont="1" applyFill="1" applyAlignment="1">
      <alignment vertical="top"/>
    </xf>
    <xf numFmtId="0" fontId="120" fillId="0" borderId="0" xfId="1" applyNumberFormat="1" applyFont="1" applyFill="1" applyAlignment="1">
      <alignment horizontal="center" vertical="top"/>
    </xf>
    <xf numFmtId="166" fontId="119" fillId="0" borderId="0" xfId="1" applyNumberFormat="1" applyFont="1" applyFill="1" applyAlignment="1">
      <alignment vertical="top"/>
    </xf>
    <xf numFmtId="0" fontId="120" fillId="0" borderId="0" xfId="1" applyNumberFormat="1" applyFont="1" applyFill="1" applyAlignment="1">
      <alignment vertical="top"/>
    </xf>
    <xf numFmtId="166" fontId="120" fillId="0" borderId="0" xfId="1" applyNumberFormat="1" applyFont="1" applyFill="1" applyAlignment="1">
      <alignment vertical="top"/>
    </xf>
    <xf numFmtId="0" fontId="106" fillId="4" borderId="0" xfId="2" applyFont="1" applyFill="1"/>
    <xf numFmtId="0" fontId="106" fillId="4" borderId="0" xfId="2" applyNumberFormat="1" applyFont="1" applyFill="1" applyAlignment="1"/>
    <xf numFmtId="43" fontId="107" fillId="0" borderId="0" xfId="1396" applyNumberFormat="1" applyFont="1" applyFill="1" applyBorder="1" applyAlignment="1" applyProtection="1">
      <alignment vertical="top"/>
    </xf>
    <xf numFmtId="0" fontId="107" fillId="0" borderId="0" xfId="0" applyFont="1" applyFill="1" applyBorder="1" applyAlignment="1">
      <alignment vertical="top"/>
    </xf>
    <xf numFmtId="0" fontId="107" fillId="0" borderId="0" xfId="50" applyFont="1" applyFill="1"/>
    <xf numFmtId="0" fontId="106" fillId="0" borderId="0" xfId="14" quotePrefix="1" applyNumberFormat="1" applyFont="1" applyFill="1" applyAlignment="1">
      <alignment horizontal="left" vertical="top"/>
    </xf>
    <xf numFmtId="0" fontId="106" fillId="0" borderId="0" xfId="0" applyNumberFormat="1" applyFont="1" applyFill="1" applyAlignment="1"/>
    <xf numFmtId="0" fontId="106" fillId="0" borderId="0" xfId="0" applyFont="1" applyFill="1" applyAlignment="1">
      <alignment horizontal="center" vertical="top"/>
    </xf>
    <xf numFmtId="166" fontId="107" fillId="0" borderId="21" xfId="46" applyNumberFormat="1" applyFont="1" applyFill="1" applyBorder="1" applyAlignment="1"/>
    <xf numFmtId="166" fontId="106" fillId="0" borderId="7" xfId="2" applyNumberFormat="1" applyFont="1" applyFill="1" applyBorder="1"/>
    <xf numFmtId="15" fontId="110" fillId="0" borderId="59" xfId="0" applyNumberFormat="1" applyFont="1" applyBorder="1"/>
    <xf numFmtId="168" fontId="110" fillId="0" borderId="59" xfId="46" applyNumberFormat="1" applyFont="1" applyBorder="1"/>
    <xf numFmtId="168" fontId="110" fillId="0" borderId="0" xfId="0" applyNumberFormat="1" applyFont="1"/>
    <xf numFmtId="168" fontId="110" fillId="38" borderId="59" xfId="46" applyNumberFormat="1" applyFont="1" applyFill="1" applyBorder="1"/>
    <xf numFmtId="168" fontId="110" fillId="0" borderId="0" xfId="46" applyNumberFormat="1" applyFont="1"/>
    <xf numFmtId="170" fontId="107" fillId="0" borderId="0" xfId="4" applyNumberFormat="1" applyFont="1" applyFill="1" applyAlignment="1">
      <alignment vertical="top"/>
    </xf>
    <xf numFmtId="0" fontId="109" fillId="0" borderId="0" xfId="50" quotePrefix="1" applyNumberFormat="1" applyFont="1" applyFill="1" applyAlignment="1" applyProtection="1">
      <alignment vertical="top"/>
      <protection locked="0"/>
    </xf>
    <xf numFmtId="0" fontId="110" fillId="0" borderId="0" xfId="1455" applyFont="1" applyFill="1" applyAlignment="1">
      <alignment vertical="top" wrapText="1"/>
    </xf>
    <xf numFmtId="0" fontId="106" fillId="0" borderId="59" xfId="4" applyFont="1" applyFill="1" applyBorder="1" applyAlignment="1" applyProtection="1">
      <alignment horizontal="center" vertical="top"/>
      <protection locked="0"/>
    </xf>
    <xf numFmtId="166" fontId="107" fillId="0" borderId="59" xfId="46" applyNumberFormat="1" applyFont="1" applyFill="1" applyBorder="1" applyAlignment="1" applyProtection="1">
      <alignment horizontal="center" vertical="top" wrapText="1"/>
      <protection locked="0"/>
    </xf>
    <xf numFmtId="166" fontId="107" fillId="0" borderId="59" xfId="4" applyNumberFormat="1" applyFont="1" applyFill="1" applyBorder="1" applyAlignment="1" applyProtection="1">
      <alignment horizontal="center" vertical="top" wrapText="1"/>
      <protection locked="0"/>
    </xf>
    <xf numFmtId="166" fontId="107" fillId="0" borderId="59" xfId="171" applyNumberFormat="1" applyFont="1" applyFill="1" applyBorder="1" applyAlignment="1" applyProtection="1">
      <alignment horizontal="center" vertical="top" wrapText="1"/>
      <protection locked="0"/>
    </xf>
    <xf numFmtId="43" fontId="107" fillId="0" borderId="59" xfId="171" applyNumberFormat="1" applyFont="1" applyFill="1" applyBorder="1" applyAlignment="1" applyProtection="1">
      <alignment horizontal="center" vertical="top" wrapText="1"/>
      <protection locked="0"/>
    </xf>
    <xf numFmtId="43" fontId="107" fillId="0" borderId="59" xfId="4" applyNumberFormat="1" applyFont="1" applyFill="1" applyBorder="1" applyAlignment="1" applyProtection="1">
      <alignment horizontal="center" vertical="top" wrapText="1"/>
      <protection locked="0"/>
    </xf>
    <xf numFmtId="178" fontId="107" fillId="0" borderId="59" xfId="171" applyNumberFormat="1" applyFont="1" applyFill="1" applyBorder="1" applyAlignment="1" applyProtection="1">
      <alignment horizontal="center" vertical="top" wrapText="1"/>
      <protection locked="0"/>
    </xf>
    <xf numFmtId="166" fontId="109" fillId="0" borderId="0" xfId="46" quotePrefix="1" applyNumberFormat="1" applyFont="1" applyFill="1" applyAlignment="1">
      <alignment vertical="top" wrapText="1"/>
    </xf>
    <xf numFmtId="166" fontId="109" fillId="0" borderId="0" xfId="50" quotePrefix="1" applyNumberFormat="1" applyFont="1" applyFill="1" applyAlignment="1">
      <alignment vertical="top" wrapText="1"/>
    </xf>
    <xf numFmtId="228" fontId="107" fillId="0" borderId="59" xfId="171" applyNumberFormat="1" applyFont="1" applyFill="1" applyBorder="1" applyAlignment="1" applyProtection="1">
      <alignment horizontal="center" vertical="top" wrapText="1"/>
      <protection locked="0"/>
    </xf>
    <xf numFmtId="0" fontId="109" fillId="0" borderId="0" xfId="50" quotePrefix="1" applyFont="1" applyFill="1" applyAlignment="1">
      <alignment vertical="top" wrapText="1"/>
    </xf>
    <xf numFmtId="0" fontId="107" fillId="0" borderId="0" xfId="156" quotePrefix="1" applyFont="1" applyFill="1" applyAlignment="1"/>
    <xf numFmtId="0" fontId="110" fillId="0" borderId="0" xfId="0" applyFont="1" applyFill="1"/>
    <xf numFmtId="0" fontId="114" fillId="0" borderId="0" xfId="1523" quotePrefix="1" applyFont="1" applyAlignment="1">
      <alignment horizontal="center"/>
    </xf>
    <xf numFmtId="0" fontId="114" fillId="0" borderId="0" xfId="1523" applyFont="1" applyAlignment="1">
      <alignment horizontal="center"/>
    </xf>
    <xf numFmtId="166" fontId="108" fillId="0" borderId="0" xfId="1" applyNumberFormat="1" applyFont="1" applyFill="1" applyBorder="1" applyAlignment="1">
      <alignment vertical="top"/>
    </xf>
    <xf numFmtId="166" fontId="106" fillId="0" borderId="87" xfId="1" applyNumberFormat="1" applyFont="1" applyFill="1" applyBorder="1" applyAlignment="1">
      <alignment horizontal="right" vertical="top"/>
    </xf>
    <xf numFmtId="166" fontId="107" fillId="0" borderId="87" xfId="1" applyNumberFormat="1" applyFont="1" applyFill="1" applyBorder="1" applyAlignment="1">
      <alignment horizontal="right" vertical="top"/>
    </xf>
    <xf numFmtId="166" fontId="106" fillId="0" borderId="87" xfId="1" applyNumberFormat="1" applyFont="1" applyFill="1" applyBorder="1" applyAlignment="1">
      <alignment vertical="top"/>
    </xf>
    <xf numFmtId="166" fontId="107" fillId="0" borderId="87" xfId="1" applyNumberFormat="1" applyFont="1" applyFill="1" applyBorder="1" applyAlignment="1">
      <alignment vertical="top"/>
    </xf>
    <xf numFmtId="0" fontId="122" fillId="0" borderId="0" xfId="126" applyNumberFormat="1" applyFont="1"/>
    <xf numFmtId="0" fontId="123" fillId="0" borderId="0" xfId="1524" applyFont="1"/>
    <xf numFmtId="0" fontId="114" fillId="0" borderId="0" xfId="1524" applyFont="1"/>
    <xf numFmtId="203" fontId="107" fillId="0" borderId="0" xfId="234" applyNumberFormat="1" applyFont="1" applyFill="1" applyBorder="1"/>
    <xf numFmtId="0" fontId="106" fillId="0" borderId="0" xfId="1436" applyFont="1" applyAlignment="1">
      <alignment vertical="top"/>
    </xf>
    <xf numFmtId="0" fontId="110" fillId="0" borderId="0" xfId="1436" applyFont="1" applyAlignment="1">
      <alignment horizontal="justify" vertical="top"/>
    </xf>
    <xf numFmtId="0" fontId="114" fillId="0" borderId="0" xfId="2" applyFont="1" applyFill="1" applyAlignment="1">
      <alignment horizontal="center" vertical="top"/>
    </xf>
    <xf numFmtId="0" fontId="106" fillId="0" borderId="0" xfId="2" applyFont="1" applyFill="1" applyAlignment="1">
      <alignment horizontal="center"/>
    </xf>
    <xf numFmtId="0" fontId="106" fillId="0" borderId="0" xfId="0" applyFont="1" applyFill="1" applyAlignment="1">
      <alignment horizontal="center"/>
    </xf>
    <xf numFmtId="0" fontId="106" fillId="0" borderId="0" xfId="2" applyFont="1" applyFill="1" applyAlignment="1">
      <alignment horizontal="center" vertical="top"/>
    </xf>
    <xf numFmtId="0" fontId="106" fillId="0" borderId="0" xfId="1" applyNumberFormat="1" applyFont="1" applyFill="1" applyAlignment="1">
      <alignment horizontal="center" vertical="top"/>
    </xf>
    <xf numFmtId="0" fontId="106" fillId="0" borderId="0" xfId="5" quotePrefix="1" applyFont="1" applyFill="1" applyAlignment="1">
      <alignment horizontal="center" vertical="top"/>
    </xf>
    <xf numFmtId="0" fontId="106" fillId="0" borderId="0" xfId="5" applyFont="1" applyFill="1" applyAlignment="1">
      <alignment horizontal="center" vertical="top"/>
    </xf>
    <xf numFmtId="0" fontId="107" fillId="0" borderId="0" xfId="2" applyFont="1" applyFill="1" applyAlignment="1">
      <alignment horizontal="left" vertical="top" wrapText="1"/>
    </xf>
    <xf numFmtId="0" fontId="107" fillId="0" borderId="0" xfId="13" applyFont="1" applyFill="1" applyAlignment="1">
      <alignment horizontal="justify" vertical="top" wrapText="1"/>
    </xf>
    <xf numFmtId="0" fontId="110" fillId="0" borderId="0" xfId="2" applyFont="1" applyFill="1" applyAlignment="1">
      <alignment horizontal="left" vertical="top" wrapText="1"/>
    </xf>
    <xf numFmtId="0" fontId="106" fillId="0" borderId="0" xfId="4" quotePrefix="1" applyFont="1" applyFill="1" applyAlignment="1">
      <alignment horizontal="center" vertical="center"/>
    </xf>
    <xf numFmtId="0" fontId="107" fillId="0" borderId="0" xfId="2" applyNumberFormat="1" applyFont="1" applyFill="1" applyAlignment="1">
      <alignment horizontal="justify" vertical="top" wrapText="1"/>
    </xf>
    <xf numFmtId="0" fontId="107" fillId="0" borderId="0" xfId="13" applyFont="1" applyFill="1" applyAlignment="1">
      <alignment horizontal="left" vertical="top" wrapText="1"/>
    </xf>
    <xf numFmtId="170" fontId="107" fillId="0" borderId="0" xfId="4" applyNumberFormat="1" applyFont="1" applyFill="1" applyAlignment="1">
      <alignment horizontal="justify" vertical="top" wrapText="1"/>
    </xf>
    <xf numFmtId="0" fontId="110" fillId="0" borderId="0" xfId="1455" quotePrefix="1" applyFont="1" applyFill="1" applyAlignment="1">
      <alignment horizontal="left" vertical="top" wrapText="1"/>
    </xf>
    <xf numFmtId="0" fontId="109" fillId="4" borderId="0" xfId="50" quotePrefix="1" applyFont="1" applyFill="1" applyAlignment="1">
      <alignment horizontal="justify" vertical="top"/>
    </xf>
    <xf numFmtId="0" fontId="109" fillId="0" borderId="0" xfId="50" quotePrefix="1" applyFont="1" applyAlignment="1">
      <alignment horizontal="justify" vertical="top"/>
    </xf>
    <xf numFmtId="0" fontId="107" fillId="0" borderId="0" xfId="1436" applyFont="1" applyAlignment="1">
      <alignment horizontal="left" vertical="top" wrapText="1"/>
    </xf>
    <xf numFmtId="0" fontId="107" fillId="0" borderId="0" xfId="2" applyFont="1" applyFill="1" applyAlignment="1">
      <alignment horizontal="justify" vertical="top" wrapText="1"/>
    </xf>
    <xf numFmtId="0" fontId="107" fillId="0" borderId="0" xfId="41" applyNumberFormat="1" applyFont="1" applyFill="1" applyAlignment="1">
      <alignment horizontal="justify" vertical="top" wrapText="1"/>
    </xf>
    <xf numFmtId="0" fontId="110" fillId="0" borderId="0" xfId="0" applyFont="1" applyAlignment="1">
      <alignment horizontal="justify" vertical="top" wrapText="1"/>
    </xf>
    <xf numFmtId="0" fontId="111" fillId="0" borderId="0" xfId="0" applyFont="1" applyFill="1"/>
    <xf numFmtId="0" fontId="109" fillId="0" borderId="0" xfId="0" applyNumberFormat="1" applyFont="1" applyFill="1" applyAlignment="1" applyProtection="1">
      <alignment horizontal="justify" vertical="top" wrapText="1"/>
      <protection locked="0"/>
    </xf>
    <xf numFmtId="0" fontId="106" fillId="0" borderId="0" xfId="0" applyFont="1" applyFill="1" applyAlignment="1">
      <alignment horizontal="center"/>
    </xf>
    <xf numFmtId="0" fontId="106" fillId="0" borderId="0" xfId="0" quotePrefix="1" applyNumberFormat="1" applyFont="1" applyFill="1" applyAlignment="1"/>
    <xf numFmtId="0" fontId="106" fillId="0" borderId="0" xfId="0" quotePrefix="1" applyFont="1" applyFill="1" applyAlignment="1">
      <alignment horizontal="center"/>
    </xf>
    <xf numFmtId="0" fontId="106" fillId="0" borderId="0" xfId="5" applyFont="1" applyFill="1" applyAlignment="1">
      <alignment vertical="top"/>
    </xf>
    <xf numFmtId="0" fontId="107" fillId="0" borderId="0" xfId="1" quotePrefix="1" applyNumberFormat="1" applyFont="1" applyFill="1" applyBorder="1" applyAlignment="1">
      <alignment horizontal="center" vertical="center"/>
    </xf>
    <xf numFmtId="0" fontId="107" fillId="0" borderId="0" xfId="5" applyFont="1" applyFill="1" applyAlignment="1">
      <alignment vertical="top"/>
    </xf>
    <xf numFmtId="4" fontId="107" fillId="0" borderId="0" xfId="5" applyNumberFormat="1" applyFont="1" applyFill="1" applyAlignment="1">
      <alignment vertical="top"/>
    </xf>
    <xf numFmtId="4" fontId="107" fillId="0" borderId="0" xfId="1" applyNumberFormat="1" applyFont="1" applyFill="1" applyAlignment="1"/>
    <xf numFmtId="0" fontId="107" fillId="0" borderId="67" xfId="1410" applyNumberFormat="1" applyFont="1" applyFill="1" applyBorder="1" applyAlignment="1">
      <alignment vertical="top"/>
      <protection locked="0"/>
    </xf>
    <xf numFmtId="0" fontId="106" fillId="0" borderId="67" xfId="0" applyFont="1" applyFill="1" applyBorder="1" applyAlignment="1">
      <alignment horizontal="center" vertical="top"/>
    </xf>
    <xf numFmtId="167" fontId="106" fillId="0" borderId="67" xfId="0" quotePrefix="1" applyNumberFormat="1" applyFont="1" applyFill="1" applyBorder="1" applyAlignment="1">
      <alignment horizontal="center" vertical="top"/>
    </xf>
    <xf numFmtId="0" fontId="107" fillId="0" borderId="0" xfId="1410" applyFont="1" applyFill="1" applyAlignment="1">
      <alignment horizontal="center" vertical="top"/>
      <protection locked="0"/>
    </xf>
    <xf numFmtId="49" fontId="106" fillId="0" borderId="0" xfId="2" applyNumberFormat="1" applyFont="1" applyFill="1" applyAlignment="1">
      <alignment vertical="top"/>
    </xf>
    <xf numFmtId="0" fontId="106" fillId="0" borderId="0" xfId="5" applyNumberFormat="1" applyFont="1" applyFill="1" applyAlignment="1">
      <alignment vertical="top"/>
    </xf>
    <xf numFmtId="0" fontId="122" fillId="0" borderId="0" xfId="126" applyNumberFormat="1" applyFont="1" applyAlignment="1">
      <alignment vertical="top"/>
    </xf>
    <xf numFmtId="0" fontId="123" fillId="0" borderId="0" xfId="1524" applyFont="1" applyAlignment="1">
      <alignment vertical="top"/>
    </xf>
    <xf numFmtId="0" fontId="114" fillId="0" borderId="0" xfId="1524" applyFont="1" applyAlignment="1">
      <alignment vertical="top"/>
    </xf>
    <xf numFmtId="0" fontId="106" fillId="0" borderId="0" xfId="14" applyFont="1" applyFill="1" applyAlignment="1">
      <alignment vertical="top"/>
    </xf>
    <xf numFmtId="0" fontId="106" fillId="0" borderId="0" xfId="14" applyNumberFormat="1" applyFont="1" applyFill="1" applyAlignment="1">
      <alignment horizontal="left" vertical="top"/>
    </xf>
    <xf numFmtId="0" fontId="107" fillId="0" borderId="0" xfId="14" applyFont="1" applyFill="1" applyAlignment="1">
      <alignment vertical="top" wrapText="1"/>
    </xf>
    <xf numFmtId="0" fontId="107" fillId="0" borderId="0" xfId="15" applyFont="1" applyFill="1" applyAlignment="1">
      <alignment vertical="top"/>
    </xf>
    <xf numFmtId="0" fontId="107" fillId="0" borderId="0" xfId="0" quotePrefix="1" applyNumberFormat="1" applyFont="1" applyFill="1" applyAlignment="1" applyProtection="1">
      <alignment vertical="top"/>
      <protection locked="0"/>
    </xf>
    <xf numFmtId="0" fontId="107" fillId="0" borderId="0" xfId="0" applyNumberFormat="1" applyFont="1" applyFill="1" applyAlignment="1" applyProtection="1">
      <alignment vertical="top"/>
      <protection locked="0"/>
    </xf>
    <xf numFmtId="0" fontId="107" fillId="0" borderId="0" xfId="0" quotePrefix="1" applyFont="1" applyFill="1" applyAlignment="1">
      <alignment vertical="top" wrapText="1"/>
    </xf>
    <xf numFmtId="0" fontId="107" fillId="0" borderId="0" xfId="0" quotePrefix="1" applyFont="1" applyFill="1" applyAlignment="1">
      <alignment vertical="top"/>
    </xf>
    <xf numFmtId="0" fontId="107" fillId="0" borderId="0" xfId="0" applyFont="1" applyFill="1" applyAlignment="1">
      <alignment vertical="top" wrapText="1"/>
    </xf>
    <xf numFmtId="0" fontId="107" fillId="0" borderId="0" xfId="0" applyFont="1" applyFill="1" applyAlignment="1" applyProtection="1">
      <alignment vertical="top" wrapText="1"/>
    </xf>
    <xf numFmtId="0" fontId="107" fillId="0" borderId="0" xfId="17" applyNumberFormat="1" applyFont="1" applyFill="1" applyAlignment="1">
      <alignment vertical="top"/>
    </xf>
    <xf numFmtId="0" fontId="107" fillId="0" borderId="0" xfId="17" applyNumberFormat="1" applyFont="1" applyFill="1" applyAlignment="1">
      <alignment vertical="top" wrapText="1"/>
    </xf>
    <xf numFmtId="171" fontId="106" fillId="0" borderId="0" xfId="4" applyNumberFormat="1" applyFont="1" applyFill="1" applyAlignment="1">
      <alignment horizontal="left" vertical="top"/>
    </xf>
    <xf numFmtId="49" fontId="106" fillId="0" borderId="0" xfId="2" quotePrefix="1" applyNumberFormat="1" applyFont="1" applyFill="1" applyAlignment="1" applyProtection="1">
      <alignment horizontal="center" vertical="top"/>
    </xf>
    <xf numFmtId="0" fontId="114" fillId="0" borderId="0" xfId="1523" applyFont="1" applyAlignment="1">
      <alignment horizontal="center" vertical="top"/>
    </xf>
    <xf numFmtId="0" fontId="106" fillId="0" borderId="0" xfId="2" applyFont="1" applyFill="1" applyAlignment="1" applyProtection="1">
      <alignment horizontal="center" vertical="top"/>
    </xf>
    <xf numFmtId="0" fontId="107" fillId="0" borderId="0" xfId="2" applyFont="1" applyFill="1" applyAlignment="1" applyProtection="1">
      <alignment horizontal="center" vertical="top"/>
    </xf>
    <xf numFmtId="0" fontId="106" fillId="0" borderId="0" xfId="4" quotePrefix="1" applyFont="1" applyFill="1" applyBorder="1" applyAlignment="1">
      <alignment horizontal="center" vertical="top"/>
    </xf>
    <xf numFmtId="0" fontId="106" fillId="0" borderId="0" xfId="4" quotePrefix="1" applyFont="1" applyFill="1" applyAlignment="1">
      <alignment horizontal="center" vertical="top"/>
    </xf>
    <xf numFmtId="166" fontId="106" fillId="0" borderId="0" xfId="46" quotePrefix="1" applyNumberFormat="1" applyFont="1" applyFill="1" applyBorder="1" applyAlignment="1">
      <alignment horizontal="center" vertical="top"/>
    </xf>
    <xf numFmtId="166" fontId="107" fillId="0" borderId="0" xfId="46" quotePrefix="1" applyNumberFormat="1" applyFont="1" applyFill="1" applyBorder="1" applyAlignment="1">
      <alignment horizontal="center" vertical="top"/>
    </xf>
    <xf numFmtId="0" fontId="114" fillId="0" borderId="0" xfId="1523" quotePrefix="1" applyFont="1" applyAlignment="1">
      <alignment horizontal="center" vertical="top"/>
    </xf>
    <xf numFmtId="171" fontId="107" fillId="0" borderId="0" xfId="2" applyNumberFormat="1" applyFont="1" applyFill="1" applyAlignment="1">
      <alignment horizontal="center" vertical="top"/>
    </xf>
    <xf numFmtId="166" fontId="106" fillId="0" borderId="7" xfId="46" quotePrefix="1" applyNumberFormat="1" applyFont="1" applyFill="1" applyBorder="1" applyAlignment="1">
      <alignment horizontal="center" vertical="top"/>
    </xf>
    <xf numFmtId="166" fontId="107" fillId="0" borderId="7" xfId="46" quotePrefix="1" applyNumberFormat="1" applyFont="1" applyFill="1" applyBorder="1" applyAlignment="1">
      <alignment horizontal="center" vertical="top"/>
    </xf>
    <xf numFmtId="173" fontId="107" fillId="0" borderId="0" xfId="2" applyNumberFormat="1" applyFont="1" applyFill="1" applyAlignment="1">
      <alignment vertical="top"/>
    </xf>
    <xf numFmtId="173" fontId="106" fillId="0" borderId="5" xfId="19" applyNumberFormat="1" applyFont="1" applyFill="1" applyBorder="1" applyAlignment="1">
      <alignment vertical="top"/>
    </xf>
    <xf numFmtId="173" fontId="107" fillId="0" borderId="5" xfId="19" applyNumberFormat="1" applyFont="1" applyFill="1" applyBorder="1" applyAlignment="1">
      <alignment vertical="top"/>
    </xf>
    <xf numFmtId="0" fontId="107" fillId="38" borderId="0" xfId="2" applyFont="1" applyFill="1" applyBorder="1" applyAlignment="1">
      <alignment vertical="top"/>
    </xf>
    <xf numFmtId="0" fontId="107" fillId="38" borderId="0" xfId="2" applyFont="1" applyFill="1" applyAlignment="1">
      <alignment vertical="top"/>
    </xf>
    <xf numFmtId="173" fontId="107" fillId="38" borderId="0" xfId="2" applyNumberFormat="1" applyFont="1" applyFill="1" applyAlignment="1">
      <alignment vertical="top"/>
    </xf>
    <xf numFmtId="173" fontId="107" fillId="0" borderId="6" xfId="19" applyNumberFormat="1" applyFont="1" applyFill="1" applyBorder="1" applyAlignment="1">
      <alignment vertical="top"/>
    </xf>
    <xf numFmtId="16" fontId="107" fillId="0" borderId="0" xfId="2" quotePrefix="1" applyNumberFormat="1" applyFont="1" applyFill="1" applyAlignment="1" applyProtection="1">
      <alignment horizontal="center" vertical="top"/>
    </xf>
    <xf numFmtId="0" fontId="107" fillId="0" borderId="0" xfId="2" applyNumberFormat="1" applyFont="1" applyFill="1" applyAlignment="1" applyProtection="1">
      <alignment vertical="top" wrapText="1"/>
      <protection locked="0"/>
    </xf>
    <xf numFmtId="0" fontId="107" fillId="0" borderId="0" xfId="1394" applyNumberFormat="1" applyFont="1" applyFill="1" applyBorder="1" applyAlignment="1">
      <alignment vertical="top"/>
    </xf>
    <xf numFmtId="0" fontId="107" fillId="0" borderId="0" xfId="1395" applyNumberFormat="1" applyFont="1" applyFill="1" applyAlignment="1">
      <alignment horizontal="justify" vertical="top"/>
    </xf>
    <xf numFmtId="43" fontId="107" fillId="0" borderId="0" xfId="1394" applyNumberFormat="1" applyFont="1" applyFill="1" applyAlignment="1">
      <alignment horizontal="right" vertical="top"/>
    </xf>
    <xf numFmtId="10" fontId="107" fillId="0" borderId="0" xfId="534" applyNumberFormat="1" applyFont="1" applyFill="1" applyAlignment="1">
      <alignment horizontal="right" vertical="top"/>
    </xf>
    <xf numFmtId="0" fontId="107" fillId="0" borderId="0" xfId="21" applyFont="1" applyFill="1" applyAlignment="1">
      <alignment horizontal="left" vertical="top"/>
    </xf>
    <xf numFmtId="166" fontId="110" fillId="0" borderId="0" xfId="1404" applyNumberFormat="1" applyFont="1" applyFill="1" applyBorder="1" applyAlignment="1">
      <alignment vertical="center"/>
    </xf>
    <xf numFmtId="16" fontId="110" fillId="0" borderId="0" xfId="1" quotePrefix="1" applyNumberFormat="1" applyFont="1" applyAlignment="1">
      <alignment horizontal="center"/>
    </xf>
    <xf numFmtId="0" fontId="110" fillId="0" borderId="0" xfId="1" quotePrefix="1" applyNumberFormat="1" applyFont="1" applyAlignment="1">
      <alignment horizontal="center"/>
    </xf>
    <xf numFmtId="0" fontId="110" fillId="0" borderId="0" xfId="1" applyNumberFormat="1" applyFont="1" applyAlignment="1">
      <alignment horizontal="center"/>
    </xf>
    <xf numFmtId="0" fontId="125" fillId="3" borderId="0" xfId="2" applyFont="1" applyFill="1" applyAlignment="1">
      <alignment vertical="center"/>
    </xf>
    <xf numFmtId="0" fontId="125" fillId="0" borderId="0" xfId="2" applyFont="1" applyFill="1"/>
    <xf numFmtId="0" fontId="125" fillId="0" borderId="0" xfId="2" applyFont="1" applyFill="1" applyBorder="1"/>
    <xf numFmtId="0" fontId="126" fillId="0" borderId="0" xfId="1457" applyNumberFormat="1" applyFont="1" applyFill="1" applyBorder="1" applyAlignment="1">
      <alignment horizontal="center" vertical="center" wrapText="1"/>
    </xf>
    <xf numFmtId="166" fontId="126" fillId="0" borderId="0" xfId="1431" quotePrefix="1" applyNumberFormat="1" applyFont="1" applyFill="1" applyBorder="1" applyAlignment="1">
      <alignment horizontal="center" vertical="top"/>
    </xf>
    <xf numFmtId="166" fontId="126" fillId="0" borderId="0" xfId="1431" applyNumberFormat="1" applyFont="1" applyFill="1" applyBorder="1" applyAlignment="1">
      <alignment horizontal="center" vertical="top"/>
    </xf>
    <xf numFmtId="0" fontId="127" fillId="0" borderId="0" xfId="50" quotePrefix="1" applyFont="1" applyFill="1" applyAlignment="1">
      <alignment horizontal="center"/>
    </xf>
    <xf numFmtId="166" fontId="126" fillId="0" borderId="0" xfId="332" applyNumberFormat="1" applyFont="1" applyFill="1" applyAlignment="1">
      <alignment vertical="top"/>
    </xf>
    <xf numFmtId="166" fontId="126" fillId="0" borderId="0" xfId="1431" applyNumberFormat="1" applyFont="1" applyFill="1" applyBorder="1" applyAlignment="1">
      <alignment horizontal="center"/>
    </xf>
    <xf numFmtId="0" fontId="125" fillId="0" borderId="0" xfId="2" applyFont="1" applyFill="1" applyBorder="1" applyAlignment="1"/>
    <xf numFmtId="166" fontId="126" fillId="0" borderId="0" xfId="332" applyNumberFormat="1" applyFont="1" applyFill="1" applyAlignment="1"/>
    <xf numFmtId="166" fontId="126" fillId="0" borderId="0" xfId="1431" applyNumberFormat="1" applyFont="1" applyFill="1" applyAlignment="1"/>
    <xf numFmtId="0" fontId="126" fillId="0" borderId="0" xfId="2" applyFont="1" applyFill="1" applyAlignment="1"/>
    <xf numFmtId="166" fontId="128" fillId="0" borderId="0" xfId="1431" applyNumberFormat="1" applyFont="1" applyFill="1" applyAlignment="1"/>
    <xf numFmtId="0" fontId="125" fillId="0" borderId="0" xfId="1457" applyNumberFormat="1" applyFont="1" applyFill="1" applyBorder="1" applyAlignment="1">
      <alignment horizontal="center" vertical="center" wrapText="1"/>
    </xf>
    <xf numFmtId="0" fontId="126" fillId="0" borderId="0" xfId="1457" applyFont="1" applyFill="1" applyBorder="1" applyAlignment="1">
      <alignment horizontal="center" vertical="center"/>
    </xf>
    <xf numFmtId="0" fontId="125" fillId="0" borderId="0" xfId="1457" applyFont="1" applyFill="1" applyBorder="1" applyAlignment="1">
      <alignment horizontal="center" vertical="center"/>
    </xf>
    <xf numFmtId="0" fontId="125" fillId="0" borderId="0" xfId="2" applyFont="1" applyFill="1" applyAlignment="1"/>
    <xf numFmtId="3" fontId="107" fillId="0" borderId="0" xfId="2" applyNumberFormat="1" applyFont="1" applyAlignment="1">
      <alignment vertical="top"/>
    </xf>
    <xf numFmtId="0" fontId="107" fillId="0" borderId="0" xfId="4" applyNumberFormat="1" applyFont="1" applyFill="1" applyAlignment="1">
      <alignment vertical="top"/>
    </xf>
    <xf numFmtId="0" fontId="107" fillId="0" borderId="0" xfId="43" applyNumberFormat="1" applyFont="1" applyFill="1" applyBorder="1" applyAlignment="1">
      <alignment vertical="top"/>
    </xf>
    <xf numFmtId="166" fontId="107" fillId="0" borderId="0" xfId="29" applyNumberFormat="1" applyFont="1" applyFill="1" applyBorder="1" applyAlignment="1">
      <alignment vertical="top"/>
    </xf>
    <xf numFmtId="1" fontId="106" fillId="0" borderId="0" xfId="2" quotePrefix="1" applyNumberFormat="1" applyFont="1" applyFill="1" applyAlignment="1">
      <alignment horizontal="left" vertical="top"/>
    </xf>
    <xf numFmtId="168" fontId="106" fillId="0" borderId="0" xfId="29" applyNumberFormat="1" applyFont="1" applyFill="1" applyBorder="1" applyAlignment="1">
      <alignment horizontal="center" vertical="top" wrapText="1"/>
    </xf>
    <xf numFmtId="0" fontId="110" fillId="0" borderId="0" xfId="45" applyFont="1" applyFill="1" applyAlignment="1">
      <alignment horizontal="justify" vertical="top" wrapText="1"/>
    </xf>
    <xf numFmtId="0" fontId="107" fillId="0" borderId="0" xfId="2" quotePrefix="1" applyNumberFormat="1" applyFont="1" applyFill="1" applyAlignment="1">
      <alignment vertical="top"/>
    </xf>
    <xf numFmtId="0" fontId="107" fillId="0" borderId="0" xfId="2" applyFont="1" applyFill="1" applyBorder="1" applyAlignment="1">
      <alignment horizontal="justify" vertical="top"/>
    </xf>
    <xf numFmtId="0" fontId="106" fillId="0" borderId="0" xfId="0" applyFont="1" applyFill="1" applyAlignment="1">
      <alignment horizontal="left" vertical="top"/>
    </xf>
    <xf numFmtId="0" fontId="106" fillId="0" borderId="0" xfId="0" applyFont="1" applyFill="1" applyBorder="1" applyAlignment="1">
      <alignment vertical="top"/>
    </xf>
    <xf numFmtId="0" fontId="107" fillId="0" borderId="0" xfId="2" applyFont="1" applyBorder="1" applyAlignment="1">
      <alignment vertical="top"/>
    </xf>
    <xf numFmtId="0" fontId="110" fillId="0" borderId="0" xfId="0" applyFont="1" applyFill="1" applyAlignment="1">
      <alignment horizontal="center" vertical="center"/>
    </xf>
    <xf numFmtId="0" fontId="106" fillId="0" borderId="0" xfId="2" applyFont="1" applyFill="1" applyAlignment="1">
      <alignment horizontal="center"/>
    </xf>
    <xf numFmtId="0" fontId="106" fillId="0" borderId="0" xfId="2" quotePrefix="1" applyFont="1" applyFill="1" applyAlignment="1">
      <alignment horizontal="center"/>
    </xf>
    <xf numFmtId="0" fontId="125" fillId="0" borderId="0" xfId="2" applyFont="1" applyFill="1" applyAlignment="1">
      <alignment horizontal="left" vertical="top" wrapText="1"/>
    </xf>
    <xf numFmtId="0" fontId="125" fillId="0" borderId="0" xfId="2" applyFont="1" applyFill="1" applyAlignment="1">
      <alignment horizontal="left" wrapText="1"/>
    </xf>
    <xf numFmtId="0" fontId="110" fillId="0" borderId="0" xfId="0" applyFont="1" applyAlignment="1">
      <alignment horizontal="justify" vertical="top" wrapText="1"/>
    </xf>
    <xf numFmtId="0" fontId="107" fillId="0" borderId="0" xfId="2" applyFont="1" applyFill="1" applyAlignment="1">
      <alignment horizontal="left" vertical="top" wrapText="1"/>
    </xf>
    <xf numFmtId="0" fontId="107" fillId="0" borderId="0" xfId="65" applyFont="1" applyAlignment="1">
      <alignment horizontal="left" vertical="top" wrapText="1"/>
    </xf>
    <xf numFmtId="0" fontId="110" fillId="0" borderId="0" xfId="0" applyFont="1" applyAlignment="1">
      <alignment horizontal="justify" vertical="top" wrapText="1"/>
    </xf>
    <xf numFmtId="0" fontId="110" fillId="0" borderId="0" xfId="0" applyFont="1" applyFill="1"/>
    <xf numFmtId="171" fontId="114" fillId="0" borderId="0" xfId="1523" quotePrefix="1" applyNumberFormat="1" applyFont="1" applyAlignment="1">
      <alignment horizontal="center"/>
    </xf>
    <xf numFmtId="0" fontId="125" fillId="0" borderId="0" xfId="2" applyFont="1" applyFill="1" applyAlignment="1">
      <alignment vertical="top" wrapText="1"/>
    </xf>
    <xf numFmtId="0" fontId="125" fillId="0" borderId="0" xfId="2" applyFont="1" applyFill="1" applyAlignment="1">
      <alignment horizontal="left" vertical="top" wrapText="1" indent="1"/>
    </xf>
    <xf numFmtId="0" fontId="125" fillId="0" borderId="0" xfId="2" applyFont="1" applyFill="1" applyAlignment="1">
      <alignment horizontal="left" wrapText="1" indent="1"/>
    </xf>
    <xf numFmtId="0" fontId="107" fillId="0" borderId="0" xfId="36" applyFont="1" applyFill="1" applyAlignment="1">
      <alignment horizontal="right" vertical="top"/>
    </xf>
    <xf numFmtId="166" fontId="106" fillId="0" borderId="16" xfId="46" applyNumberFormat="1" applyFont="1" applyFill="1" applyBorder="1" applyAlignment="1">
      <alignment horizontal="center" vertical="top" wrapText="1"/>
    </xf>
    <xf numFmtId="0" fontId="106" fillId="0" borderId="16" xfId="46" applyNumberFormat="1" applyFont="1" applyFill="1" applyBorder="1" applyAlignment="1">
      <alignment horizontal="center" vertical="top" wrapText="1"/>
    </xf>
    <xf numFmtId="166" fontId="107" fillId="0" borderId="16" xfId="46" applyNumberFormat="1" applyFont="1" applyFill="1" applyBorder="1" applyAlignment="1">
      <alignment horizontal="center" vertical="top" wrapText="1"/>
    </xf>
    <xf numFmtId="0" fontId="110" fillId="0" borderId="0" xfId="1455" quotePrefix="1" applyFont="1" applyFill="1" applyAlignment="1">
      <alignment vertical="top"/>
    </xf>
    <xf numFmtId="0" fontId="107" fillId="0" borderId="0" xfId="155" applyFont="1" applyFill="1" applyAlignment="1">
      <alignment horizontal="left" vertical="top"/>
    </xf>
    <xf numFmtId="0" fontId="107" fillId="0" borderId="0" xfId="155" applyFont="1" applyFill="1" applyAlignment="1">
      <alignment vertical="top"/>
    </xf>
    <xf numFmtId="166" fontId="107" fillId="0" borderId="7" xfId="38" applyNumberFormat="1" applyFont="1" applyFill="1" applyBorder="1" applyAlignment="1">
      <alignment vertical="center"/>
    </xf>
    <xf numFmtId="166" fontId="107" fillId="0" borderId="0" xfId="38" applyNumberFormat="1" applyFont="1" applyFill="1" applyBorder="1" applyAlignment="1">
      <alignment vertical="center"/>
    </xf>
    <xf numFmtId="0" fontId="114" fillId="0" borderId="0" xfId="1523" quotePrefix="1" applyFont="1" applyFill="1" applyAlignment="1">
      <alignment horizontal="center"/>
    </xf>
    <xf numFmtId="166" fontId="106" fillId="0" borderId="4" xfId="1" applyNumberFormat="1" applyFont="1" applyFill="1" applyBorder="1" applyAlignment="1">
      <alignment vertical="center"/>
    </xf>
    <xf numFmtId="166" fontId="107" fillId="0" borderId="0" xfId="39" applyNumberFormat="1" applyFont="1" applyFill="1"/>
    <xf numFmtId="166" fontId="107" fillId="42" borderId="0" xfId="2" applyNumberFormat="1" applyFont="1" applyFill="1" applyBorder="1" applyAlignment="1" applyProtection="1">
      <alignment horizontal="center" vertical="center"/>
      <protection locked="0"/>
    </xf>
    <xf numFmtId="182" fontId="107" fillId="42" borderId="1" xfId="1" applyNumberFormat="1" applyFont="1" applyFill="1" applyBorder="1" applyAlignment="1">
      <alignment vertical="center"/>
    </xf>
    <xf numFmtId="0" fontId="127" fillId="0" borderId="0" xfId="50" quotePrefix="1" applyFont="1" applyFill="1" applyAlignment="1">
      <alignment horizontal="center"/>
    </xf>
    <xf numFmtId="178" fontId="107" fillId="0" borderId="0" xfId="46" applyNumberFormat="1" applyFont="1" applyAlignment="1">
      <alignment horizontal="justify" vertical="top" wrapText="1"/>
    </xf>
    <xf numFmtId="0" fontId="110" fillId="0" borderId="0" xfId="0" applyFont="1" applyFill="1" applyAlignment="1">
      <alignment vertical="top" wrapText="1"/>
    </xf>
    <xf numFmtId="0" fontId="107" fillId="0" borderId="0" xfId="1392" applyFont="1" applyFill="1" applyAlignment="1" applyProtection="1">
      <alignment horizontal="left" vertical="center"/>
    </xf>
    <xf numFmtId="0" fontId="110" fillId="0" borderId="11" xfId="0" applyFont="1" applyFill="1" applyBorder="1" applyAlignment="1">
      <alignment vertical="top" wrapText="1"/>
    </xf>
    <xf numFmtId="0" fontId="107" fillId="0" borderId="0" xfId="1392" quotePrefix="1" applyFont="1" applyFill="1" applyAlignment="1">
      <alignment horizontal="left" vertical="top" indent="1"/>
      <protection locked="0"/>
    </xf>
    <xf numFmtId="0" fontId="107" fillId="0" borderId="0" xfId="1410" applyFont="1" applyFill="1" applyAlignment="1">
      <alignment horizontal="left" vertical="top" indent="1"/>
      <protection locked="0"/>
    </xf>
    <xf numFmtId="203" fontId="106" fillId="0" borderId="0" xfId="1412" applyFont="1" applyFill="1" applyBorder="1" applyAlignment="1" applyProtection="1">
      <alignment vertical="center"/>
      <protection locked="0"/>
    </xf>
    <xf numFmtId="203" fontId="107" fillId="0" borderId="0" xfId="1410" applyNumberFormat="1" applyFont="1" applyFill="1" applyBorder="1" applyAlignment="1">
      <alignment vertical="top"/>
      <protection locked="0"/>
    </xf>
    <xf numFmtId="37" fontId="106" fillId="0" borderId="6" xfId="1412" applyNumberFormat="1" applyFont="1" applyFill="1" applyBorder="1"/>
    <xf numFmtId="0" fontId="106" fillId="0" borderId="0" xfId="4" applyNumberFormat="1" applyFont="1" applyFill="1" applyAlignment="1">
      <alignment vertical="center"/>
    </xf>
    <xf numFmtId="166" fontId="106" fillId="0" borderId="1" xfId="1" applyNumberFormat="1" applyFont="1" applyFill="1" applyBorder="1" applyAlignment="1">
      <alignment vertical="center"/>
    </xf>
    <xf numFmtId="166" fontId="107" fillId="0" borderId="1" xfId="1" applyNumberFormat="1" applyFont="1" applyFill="1" applyBorder="1" applyAlignment="1">
      <alignment vertical="center"/>
    </xf>
    <xf numFmtId="16" fontId="107" fillId="0" borderId="0" xfId="1" quotePrefix="1" applyNumberFormat="1" applyFont="1" applyFill="1" applyBorder="1" applyAlignment="1">
      <alignment horizontal="center" vertical="center"/>
    </xf>
    <xf numFmtId="41" fontId="107" fillId="0" borderId="80" xfId="12" applyNumberFormat="1" applyFont="1" applyFill="1" applyBorder="1"/>
    <xf numFmtId="166" fontId="107" fillId="4" borderId="0" xfId="2" applyNumberFormat="1" applyFont="1" applyFill="1" applyBorder="1" applyAlignment="1" applyProtection="1">
      <alignment horizontal="center" vertical="center"/>
      <protection locked="0"/>
    </xf>
    <xf numFmtId="0" fontId="107" fillId="0" borderId="0" xfId="1395" applyNumberFormat="1" applyFont="1" applyFill="1" applyBorder="1" applyAlignment="1">
      <alignment horizontal="justify" vertical="top"/>
    </xf>
    <xf numFmtId="0" fontId="106" fillId="0" borderId="0" xfId="30" quotePrefix="1" applyNumberFormat="1" applyFont="1" applyFill="1" applyBorder="1" applyAlignment="1">
      <alignment vertical="top" wrapText="1"/>
    </xf>
    <xf numFmtId="41" fontId="106" fillId="0" borderId="87" xfId="2" applyNumberFormat="1" applyFont="1" applyFill="1" applyBorder="1" applyAlignment="1">
      <alignment vertical="top"/>
    </xf>
    <xf numFmtId="173" fontId="107" fillId="0" borderId="87" xfId="19" applyNumberFormat="1" applyFont="1" applyFill="1" applyBorder="1" applyAlignment="1">
      <alignment vertical="top"/>
    </xf>
    <xf numFmtId="0" fontId="106" fillId="0" borderId="0" xfId="36" applyFont="1" applyFill="1" applyAlignment="1">
      <alignment horizontal="center" vertical="top"/>
    </xf>
    <xf numFmtId="0" fontId="106" fillId="0" borderId="0" xfId="1" applyNumberFormat="1" applyFont="1" applyFill="1" applyAlignment="1">
      <alignment horizontal="center" vertical="top"/>
    </xf>
    <xf numFmtId="0" fontId="107" fillId="0" borderId="0" xfId="2" applyNumberFormat="1" applyFont="1" applyFill="1" applyAlignment="1">
      <alignment vertical="top" wrapText="1"/>
    </xf>
    <xf numFmtId="0" fontId="107" fillId="0" borderId="0" xfId="2" applyNumberFormat="1" applyFont="1" applyFill="1" applyAlignment="1">
      <alignment horizontal="justify" vertical="top" wrapText="1"/>
    </xf>
    <xf numFmtId="203" fontId="106" fillId="0" borderId="0" xfId="1412" applyNumberFormat="1" applyFont="1" applyFill="1"/>
    <xf numFmtId="41" fontId="107" fillId="0" borderId="7" xfId="11" applyNumberFormat="1" applyFont="1" applyFill="1" applyBorder="1" applyAlignment="1">
      <alignment vertical="center"/>
    </xf>
    <xf numFmtId="0" fontId="106" fillId="0" borderId="0" xfId="2" applyNumberFormat="1" applyFont="1" applyFill="1" applyAlignment="1"/>
    <xf numFmtId="0" fontId="126" fillId="0" borderId="0" xfId="50" applyFont="1" applyFill="1" applyBorder="1" applyAlignment="1">
      <alignment horizontal="left" vertical="top"/>
    </xf>
    <xf numFmtId="0" fontId="107" fillId="0" borderId="0" xfId="13" applyFont="1" applyFill="1" applyAlignment="1">
      <alignment horizontal="left" vertical="top" wrapText="1"/>
    </xf>
    <xf numFmtId="0" fontId="107" fillId="0" borderId="0" xfId="0" applyFont="1" applyFill="1" applyAlignment="1" applyProtection="1">
      <alignment vertical="top" wrapText="1"/>
    </xf>
    <xf numFmtId="0" fontId="107" fillId="0" borderId="0" xfId="2" applyFont="1" applyFill="1" applyAlignment="1">
      <alignment horizontal="left" vertical="top" wrapText="1"/>
    </xf>
    <xf numFmtId="166" fontId="106" fillId="0" borderId="88" xfId="2" applyNumberFormat="1" applyFont="1" applyFill="1" applyBorder="1" applyAlignment="1" applyProtection="1">
      <alignment horizontal="center" vertical="center"/>
      <protection locked="0"/>
    </xf>
    <xf numFmtId="166" fontId="107" fillId="0" borderId="88" xfId="2" applyNumberFormat="1" applyFont="1" applyFill="1" applyBorder="1" applyAlignment="1" applyProtection="1">
      <alignment horizontal="center" vertical="center"/>
      <protection locked="0"/>
    </xf>
    <xf numFmtId="166" fontId="106" fillId="0" borderId="0" xfId="930" applyNumberFormat="1" applyFont="1" applyFill="1" applyBorder="1"/>
    <xf numFmtId="0" fontId="107" fillId="0" borderId="0" xfId="930" applyFont="1" applyFill="1" applyBorder="1"/>
    <xf numFmtId="166" fontId="107" fillId="0" borderId="0" xfId="930" applyNumberFormat="1" applyFont="1" applyFill="1" applyBorder="1"/>
    <xf numFmtId="178" fontId="106" fillId="0" borderId="1" xfId="47" applyNumberFormat="1" applyFont="1" applyFill="1" applyBorder="1" applyAlignment="1">
      <alignment horizontal="right" vertical="center"/>
    </xf>
    <xf numFmtId="166" fontId="106" fillId="0" borderId="87" xfId="2" applyNumberFormat="1" applyFont="1" applyFill="1" applyBorder="1" applyAlignment="1" applyProtection="1">
      <alignment horizontal="center" vertical="center"/>
      <protection locked="0"/>
    </xf>
    <xf numFmtId="166" fontId="106" fillId="0" borderId="6" xfId="2" applyNumberFormat="1" applyFont="1" applyFill="1" applyBorder="1" applyAlignment="1" applyProtection="1">
      <alignment horizontal="center" vertical="center"/>
      <protection locked="0"/>
    </xf>
    <xf numFmtId="166" fontId="107" fillId="0" borderId="87" xfId="2" applyNumberFormat="1" applyFont="1" applyFill="1" applyBorder="1" applyAlignment="1" applyProtection="1">
      <alignment horizontal="center" vertical="center"/>
      <protection locked="0"/>
    </xf>
    <xf numFmtId="166" fontId="107" fillId="0" borderId="6" xfId="2" applyNumberFormat="1" applyFont="1" applyFill="1" applyBorder="1" applyAlignment="1" applyProtection="1">
      <alignment horizontal="center" vertical="center"/>
      <protection locked="0"/>
    </xf>
    <xf numFmtId="0" fontId="106" fillId="0" borderId="0" xfId="14" applyFont="1" applyFill="1" applyAlignment="1">
      <alignment horizontal="left" vertical="top" wrapText="1"/>
    </xf>
    <xf numFmtId="171" fontId="106" fillId="0" borderId="0" xfId="2" quotePrefix="1" applyNumberFormat="1" applyFont="1" applyFill="1" applyAlignment="1">
      <alignment horizontal="left" vertical="top"/>
    </xf>
    <xf numFmtId="0" fontId="131" fillId="0" borderId="0" xfId="190" applyFont="1" applyFill="1"/>
    <xf numFmtId="0" fontId="132" fillId="0" borderId="0" xfId="1527" applyFont="1" applyAlignment="1">
      <alignment horizontal="justify" vertical="top"/>
    </xf>
    <xf numFmtId="0" fontId="0" fillId="0" borderId="0" xfId="0" applyFont="1" applyAlignment="1">
      <alignment horizontal="justify" vertical="top"/>
    </xf>
    <xf numFmtId="0" fontId="131" fillId="0" borderId="0" xfId="190" applyFont="1" applyAlignment="1">
      <alignment horizontal="justify" vertical="top"/>
    </xf>
    <xf numFmtId="173" fontId="106" fillId="0" borderId="66" xfId="2" applyNumberFormat="1" applyFont="1" applyFill="1" applyBorder="1" applyAlignment="1">
      <alignment vertical="top"/>
    </xf>
    <xf numFmtId="182" fontId="0" fillId="0" borderId="0" xfId="46" applyNumberFormat="1" applyFont="1" applyFill="1"/>
    <xf numFmtId="166" fontId="0" fillId="0" borderId="0" xfId="0" applyNumberFormat="1" applyFill="1"/>
    <xf numFmtId="43" fontId="0" fillId="0" borderId="0" xfId="0" applyNumberFormat="1" applyFill="1"/>
    <xf numFmtId="0" fontId="0" fillId="0" borderId="0" xfId="0" quotePrefix="1" applyNumberFormat="1" applyFill="1"/>
    <xf numFmtId="182" fontId="0" fillId="0" borderId="0" xfId="0" applyNumberFormat="1" applyFill="1"/>
    <xf numFmtId="43" fontId="0" fillId="4" borderId="0" xfId="0" applyNumberFormat="1" applyFill="1"/>
    <xf numFmtId="166" fontId="107" fillId="0" borderId="0" xfId="1396" applyNumberFormat="1" applyFont="1" applyFill="1" applyBorder="1" applyAlignment="1">
      <alignment vertical="top" wrapText="1"/>
    </xf>
    <xf numFmtId="43" fontId="107" fillId="0" borderId="0" xfId="1396" applyNumberFormat="1" applyFont="1" applyFill="1" applyBorder="1" applyAlignment="1" applyProtection="1">
      <alignment vertical="top" wrapText="1"/>
    </xf>
    <xf numFmtId="203" fontId="107" fillId="0" borderId="0" xfId="1394" applyFont="1" applyFill="1" applyBorder="1" applyAlignment="1">
      <alignment vertical="top" wrapText="1"/>
    </xf>
    <xf numFmtId="176" fontId="131" fillId="0" borderId="0" xfId="46" applyNumberFormat="1" applyFont="1" applyFill="1" applyAlignment="1">
      <alignment vertical="top"/>
    </xf>
    <xf numFmtId="166" fontId="133" fillId="0" borderId="0" xfId="46" applyNumberFormat="1" applyFont="1" applyFill="1" applyAlignment="1">
      <alignment vertical="top"/>
    </xf>
    <xf numFmtId="9" fontId="133" fillId="0" borderId="0" xfId="47" applyFont="1" applyFill="1" applyAlignment="1">
      <alignment vertical="top"/>
    </xf>
    <xf numFmtId="0" fontId="0" fillId="0" borderId="0" xfId="0" quotePrefix="1" applyNumberFormat="1"/>
    <xf numFmtId="166" fontId="0" fillId="4" borderId="0" xfId="46" applyNumberFormat="1" applyFont="1" applyFill="1"/>
    <xf numFmtId="0" fontId="0" fillId="4" borderId="0" xfId="0" applyFill="1" applyAlignment="1">
      <alignment horizontal="center"/>
    </xf>
    <xf numFmtId="166" fontId="113" fillId="0" borderId="0" xfId="1" applyNumberFormat="1" applyFont="1" applyFill="1" applyBorder="1" applyAlignment="1">
      <alignment vertical="top"/>
    </xf>
    <xf numFmtId="0" fontId="110" fillId="0" borderId="0" xfId="0" applyFont="1" applyFill="1" applyBorder="1"/>
    <xf numFmtId="0" fontId="129" fillId="0" borderId="0" xfId="0" applyFont="1" applyBorder="1" applyAlignment="1">
      <alignment horizontal="center" vertical="center" wrapText="1"/>
    </xf>
    <xf numFmtId="0" fontId="110" fillId="0" borderId="0" xfId="0" applyFont="1" applyBorder="1" applyAlignment="1">
      <alignment horizontal="center" vertical="center" wrapText="1"/>
    </xf>
    <xf numFmtId="166" fontId="129" fillId="0" borderId="0" xfId="46" applyNumberFormat="1" applyFont="1" applyBorder="1" applyAlignment="1">
      <alignment horizontal="center" vertical="center" wrapText="1"/>
    </xf>
    <xf numFmtId="15" fontId="110" fillId="0" borderId="0" xfId="0" applyNumberFormat="1" applyFont="1" applyBorder="1"/>
    <xf numFmtId="166" fontId="110" fillId="0" borderId="0" xfId="46" applyNumberFormat="1" applyFont="1" applyBorder="1"/>
    <xf numFmtId="0" fontId="110" fillId="0" borderId="0" xfId="0" applyFont="1" applyBorder="1"/>
    <xf numFmtId="178" fontId="110" fillId="0" borderId="0" xfId="46" applyNumberFormat="1" applyFont="1" applyBorder="1"/>
    <xf numFmtId="4" fontId="0" fillId="0" borderId="0" xfId="0" applyNumberFormat="1"/>
    <xf numFmtId="3" fontId="0" fillId="0" borderId="0" xfId="0" applyNumberFormat="1"/>
    <xf numFmtId="0" fontId="106" fillId="0" borderId="0" xfId="1410" applyNumberFormat="1" applyFont="1" applyFill="1" applyBorder="1" applyAlignment="1">
      <alignment horizontal="right" vertical="top"/>
      <protection locked="0"/>
    </xf>
    <xf numFmtId="0" fontId="106" fillId="0" borderId="0" xfId="1410" applyNumberFormat="1" applyFont="1" applyFill="1" applyBorder="1" applyAlignment="1">
      <alignment vertical="top"/>
      <protection locked="0"/>
    </xf>
    <xf numFmtId="3" fontId="107" fillId="0" borderId="0" xfId="1410" applyNumberFormat="1" applyFont="1" applyFill="1" applyBorder="1" applyAlignment="1">
      <alignment vertical="top"/>
      <protection locked="0"/>
    </xf>
    <xf numFmtId="4" fontId="107" fillId="0" borderId="0" xfId="1410" applyNumberFormat="1" applyFont="1" applyFill="1" applyBorder="1" applyAlignment="1">
      <alignment vertical="top"/>
      <protection locked="0"/>
    </xf>
    <xf numFmtId="178" fontId="107" fillId="0" borderId="0" xfId="46" applyNumberFormat="1" applyFont="1" applyFill="1" applyBorder="1" applyAlignment="1" applyProtection="1">
      <alignment vertical="top"/>
      <protection locked="0"/>
    </xf>
    <xf numFmtId="0" fontId="106" fillId="0" borderId="0" xfId="234" applyFont="1" applyFill="1" applyBorder="1"/>
    <xf numFmtId="178" fontId="106" fillId="0" borderId="0" xfId="46" applyNumberFormat="1" applyFont="1" applyFill="1" applyBorder="1" applyAlignment="1" applyProtection="1">
      <alignment vertical="top"/>
      <protection locked="0"/>
    </xf>
    <xf numFmtId="166" fontId="107" fillId="0" borderId="0" xfId="46" applyNumberFormat="1" applyFont="1" applyFill="1" applyBorder="1" applyAlignment="1" applyProtection="1">
      <alignment vertical="top"/>
      <protection locked="0"/>
    </xf>
    <xf numFmtId="166" fontId="106" fillId="0" borderId="0" xfId="46" applyNumberFormat="1" applyFont="1" applyFill="1" applyBorder="1" applyAlignment="1" applyProtection="1">
      <alignment vertical="top"/>
      <protection locked="0"/>
    </xf>
    <xf numFmtId="0" fontId="106" fillId="0" borderId="0" xfId="1410" applyFont="1" applyFill="1" applyBorder="1" applyAlignment="1">
      <alignment vertical="center"/>
      <protection locked="0"/>
    </xf>
    <xf numFmtId="166" fontId="107" fillId="0" borderId="0" xfId="1410" applyNumberFormat="1" applyFont="1" applyFill="1" applyBorder="1" applyAlignment="1">
      <alignment vertical="top"/>
      <protection locked="0"/>
    </xf>
    <xf numFmtId="1" fontId="107" fillId="0" borderId="0" xfId="1410" applyNumberFormat="1" applyFont="1" applyFill="1" applyBorder="1" applyAlignment="1">
      <alignment vertical="top"/>
      <protection locked="0"/>
    </xf>
    <xf numFmtId="178" fontId="107" fillId="0" borderId="0" xfId="46" applyNumberFormat="1" applyFont="1" applyFill="1" applyBorder="1" applyAlignment="1" applyProtection="1">
      <alignment vertical="center"/>
      <protection locked="0"/>
    </xf>
    <xf numFmtId="43" fontId="107" fillId="0" borderId="0" xfId="1410" applyNumberFormat="1" applyFont="1" applyFill="1" applyBorder="1" applyAlignment="1">
      <alignment vertical="top"/>
      <protection locked="0"/>
    </xf>
    <xf numFmtId="3" fontId="106" fillId="0" borderId="0" xfId="1410" applyNumberFormat="1" applyFont="1" applyFill="1" applyBorder="1" applyAlignment="1">
      <alignment vertical="top"/>
      <protection locked="0"/>
    </xf>
    <xf numFmtId="49" fontId="111" fillId="0" borderId="0" xfId="1" quotePrefix="1" applyNumberFormat="1" applyFont="1" applyAlignment="1">
      <alignment horizontal="center"/>
    </xf>
    <xf numFmtId="166" fontId="106" fillId="0" borderId="80" xfId="12" applyNumberFormat="1" applyFont="1" applyFill="1" applyBorder="1"/>
    <xf numFmtId="41" fontId="106" fillId="0" borderId="7" xfId="11" applyNumberFormat="1" applyFont="1" applyFill="1" applyBorder="1" applyAlignment="1">
      <alignment vertical="center"/>
    </xf>
    <xf numFmtId="182" fontId="107" fillId="0" borderId="0" xfId="46" applyNumberFormat="1" applyFont="1" applyFill="1" applyAlignment="1">
      <alignment vertical="top"/>
    </xf>
    <xf numFmtId="166" fontId="110" fillId="0" borderId="0" xfId="46" quotePrefix="1" applyNumberFormat="1" applyFont="1" applyFill="1" applyAlignment="1">
      <alignment vertical="top"/>
    </xf>
    <xf numFmtId="166" fontId="109" fillId="0" borderId="0" xfId="46" quotePrefix="1" applyNumberFormat="1" applyFont="1" applyAlignment="1">
      <alignment vertical="top" wrapText="1"/>
    </xf>
    <xf numFmtId="0" fontId="106" fillId="3" borderId="0" xfId="14" quotePrefix="1" applyFont="1" applyFill="1" applyAlignment="1">
      <alignment horizontal="left" vertical="top"/>
    </xf>
    <xf numFmtId="0" fontId="107" fillId="3" borderId="0" xfId="1455" applyFont="1" applyFill="1" applyAlignment="1">
      <alignment horizontal="left" vertical="top" wrapText="1"/>
    </xf>
    <xf numFmtId="203" fontId="107" fillId="0" borderId="0" xfId="1412" applyNumberFormat="1" applyFont="1" applyFill="1" applyBorder="1" applyProtection="1">
      <protection locked="0"/>
    </xf>
    <xf numFmtId="203" fontId="107" fillId="0" borderId="0" xfId="1412" applyNumberFormat="1" applyFont="1" applyFill="1" applyBorder="1"/>
    <xf numFmtId="0" fontId="107" fillId="0" borderId="0" xfId="1410" quotePrefix="1" applyFont="1" applyFill="1" applyAlignment="1" applyProtection="1">
      <alignment horizontal="left" vertical="top"/>
    </xf>
    <xf numFmtId="0" fontId="107" fillId="0" borderId="0" xfId="1392" applyFont="1" applyFill="1" applyAlignment="1">
      <alignment vertical="top"/>
      <protection locked="0"/>
    </xf>
    <xf numFmtId="203" fontId="107" fillId="0" borderId="7" xfId="1412" applyNumberFormat="1" applyFont="1" applyFill="1" applyBorder="1" applyAlignment="1">
      <alignment vertical="center"/>
    </xf>
    <xf numFmtId="203" fontId="107" fillId="0" borderId="70" xfId="1412" applyFont="1" applyFill="1" applyBorder="1" applyProtection="1">
      <protection locked="0"/>
    </xf>
    <xf numFmtId="203" fontId="107" fillId="0" borderId="7" xfId="1412" applyFont="1" applyFill="1" applyBorder="1" applyAlignment="1">
      <alignment vertical="center"/>
    </xf>
    <xf numFmtId="167" fontId="107" fillId="0" borderId="67" xfId="0" quotePrefix="1" applyNumberFormat="1" applyFont="1" applyFill="1" applyBorder="1" applyAlignment="1">
      <alignment horizontal="center" vertical="top"/>
    </xf>
    <xf numFmtId="0" fontId="107" fillId="0" borderId="0" xfId="2" quotePrefix="1" applyFont="1" applyFill="1" applyAlignment="1">
      <alignment horizontal="left" indent="1"/>
    </xf>
    <xf numFmtId="0" fontId="106" fillId="0" borderId="0" xfId="11" applyFont="1" applyFill="1" applyAlignment="1">
      <alignment horizontal="left"/>
    </xf>
    <xf numFmtId="0" fontId="125" fillId="0" borderId="0" xfId="333" applyNumberFormat="1" applyFont="1" applyFill="1" applyAlignment="1">
      <alignment vertical="top" wrapText="1"/>
    </xf>
    <xf numFmtId="0" fontId="125" fillId="0" borderId="0" xfId="1457" quotePrefix="1" applyFont="1" applyFill="1" applyAlignment="1">
      <alignment horizontal="center"/>
    </xf>
    <xf numFmtId="0" fontId="135" fillId="0" borderId="0" xfId="50" quotePrefix="1" applyFont="1" applyFill="1" applyAlignment="1">
      <alignment horizontal="center"/>
    </xf>
    <xf numFmtId="166" fontId="125" fillId="0" borderId="0" xfId="332" applyNumberFormat="1" applyFont="1" applyFill="1" applyAlignment="1">
      <alignment vertical="top"/>
    </xf>
    <xf numFmtId="166" fontId="125" fillId="0" borderId="0" xfId="46" quotePrefix="1" applyNumberFormat="1" applyFont="1" applyFill="1" applyAlignment="1">
      <alignment horizontal="center"/>
    </xf>
    <xf numFmtId="166" fontId="135" fillId="0" borderId="0" xfId="46" quotePrefix="1" applyNumberFormat="1" applyFont="1" applyFill="1" applyAlignment="1">
      <alignment horizontal="center"/>
    </xf>
    <xf numFmtId="166" fontId="125" fillId="0" borderId="0" xfId="46" quotePrefix="1" applyNumberFormat="1" applyFont="1" applyFill="1" applyAlignment="1">
      <alignment horizontal="center" vertical="center"/>
    </xf>
    <xf numFmtId="166" fontId="125" fillId="0" borderId="0" xfId="46" applyNumberFormat="1" applyFont="1" applyFill="1" applyAlignment="1">
      <alignment horizontal="center" vertical="center"/>
    </xf>
    <xf numFmtId="166" fontId="135" fillId="0" borderId="0" xfId="46" quotePrefix="1" applyNumberFormat="1" applyFont="1" applyFill="1" applyAlignment="1">
      <alignment horizontal="center" vertical="center"/>
    </xf>
    <xf numFmtId="166" fontId="107" fillId="0" borderId="0" xfId="46" applyNumberFormat="1" applyFont="1" applyFill="1" applyAlignment="1">
      <alignment horizontal="center" vertical="center"/>
    </xf>
    <xf numFmtId="166" fontId="125" fillId="0" borderId="0" xfId="1431" quotePrefix="1" applyNumberFormat="1" applyFont="1" applyFill="1" applyBorder="1" applyAlignment="1">
      <alignment horizontal="center" vertical="top"/>
    </xf>
    <xf numFmtId="166" fontId="125" fillId="0" borderId="0" xfId="1431" applyNumberFormat="1" applyFont="1" applyFill="1" applyBorder="1" applyAlignment="1">
      <alignment horizontal="center" vertical="top"/>
    </xf>
    <xf numFmtId="0" fontId="125" fillId="0" borderId="0" xfId="50" applyFont="1" applyFill="1" applyBorder="1" applyAlignment="1">
      <alignment horizontal="left" vertical="top" wrapText="1"/>
    </xf>
    <xf numFmtId="166" fontId="125" fillId="0" borderId="0" xfId="1431" applyNumberFormat="1" applyFont="1" applyFill="1" applyAlignment="1"/>
    <xf numFmtId="166" fontId="125" fillId="0" borderId="0" xfId="332" applyNumberFormat="1" applyFont="1" applyFill="1" applyAlignment="1"/>
    <xf numFmtId="166" fontId="136" fillId="0" borderId="0" xfId="1431" applyNumberFormat="1" applyFont="1" applyFill="1" applyAlignment="1"/>
    <xf numFmtId="166" fontId="125" fillId="0" borderId="0" xfId="1431" applyNumberFormat="1" applyFont="1" applyFill="1" applyBorder="1" applyAlignment="1">
      <alignment horizontal="center"/>
    </xf>
    <xf numFmtId="166" fontId="125" fillId="0" borderId="0" xfId="1431" quotePrefix="1" applyNumberFormat="1" applyFont="1" applyFill="1" applyBorder="1" applyAlignment="1">
      <alignment horizontal="center"/>
    </xf>
    <xf numFmtId="0" fontId="125" fillId="0" borderId="0" xfId="50" applyFont="1" applyFill="1" applyBorder="1" applyAlignment="1">
      <alignment horizontal="left" vertical="top"/>
    </xf>
    <xf numFmtId="0" fontId="110" fillId="0" borderId="0" xfId="0" applyFont="1" applyFill="1" applyAlignment="1">
      <alignment wrapText="1"/>
    </xf>
    <xf numFmtId="173" fontId="107" fillId="0" borderId="66" xfId="2" applyNumberFormat="1" applyFont="1" applyFill="1" applyBorder="1" applyAlignment="1">
      <alignment vertical="top"/>
    </xf>
    <xf numFmtId="49" fontId="106" fillId="0" borderId="0" xfId="1394" applyNumberFormat="1" applyFont="1" applyFill="1" applyAlignment="1">
      <alignment horizontal="left" vertical="top"/>
    </xf>
    <xf numFmtId="0" fontId="107" fillId="0" borderId="0" xfId="0" applyFont="1" applyFill="1" applyBorder="1" applyAlignment="1">
      <alignment horizontal="justify" vertical="top"/>
    </xf>
    <xf numFmtId="179" fontId="106" fillId="0" borderId="0" xfId="14" quotePrefix="1" applyNumberFormat="1" applyFont="1" applyFill="1" applyBorder="1" applyAlignment="1">
      <alignment horizontal="left" vertical="top"/>
    </xf>
    <xf numFmtId="0" fontId="106" fillId="0" borderId="0" xfId="1394" applyNumberFormat="1" applyFont="1" applyFill="1" applyBorder="1" applyAlignment="1">
      <alignment vertical="top"/>
    </xf>
    <xf numFmtId="0" fontId="107" fillId="0" borderId="0" xfId="50" applyFont="1" applyFill="1" applyBorder="1" applyAlignment="1">
      <alignment horizontal="left" vertical="top" wrapText="1"/>
    </xf>
    <xf numFmtId="0" fontId="106" fillId="0" borderId="0" xfId="14" quotePrefix="1" applyNumberFormat="1" applyFont="1" applyFill="1" applyBorder="1" applyAlignment="1">
      <alignment horizontal="left" vertical="top"/>
    </xf>
    <xf numFmtId="0" fontId="106" fillId="0" borderId="0" xfId="1394" applyNumberFormat="1" applyFont="1" applyFill="1" applyBorder="1" applyAlignment="1">
      <alignment vertical="top" wrapText="1"/>
    </xf>
    <xf numFmtId="0" fontId="106" fillId="0" borderId="0" xfId="1394" applyNumberFormat="1" applyFont="1" applyFill="1" applyBorder="1" applyAlignment="1">
      <alignment vertical="center" wrapText="1"/>
    </xf>
    <xf numFmtId="15" fontId="106" fillId="0" borderId="0" xfId="1396" quotePrefix="1" applyNumberFormat="1" applyFont="1" applyFill="1" applyBorder="1" applyAlignment="1" applyProtection="1">
      <alignment vertical="top" wrapText="1"/>
    </xf>
    <xf numFmtId="0" fontId="106" fillId="0" borderId="0" xfId="1396" applyNumberFormat="1" applyFont="1" applyFill="1" applyBorder="1" applyAlignment="1" applyProtection="1">
      <alignment vertical="top" wrapText="1"/>
    </xf>
    <xf numFmtId="0" fontId="106" fillId="0" borderId="0" xfId="8" applyFont="1" applyFill="1" applyBorder="1" applyAlignment="1">
      <alignment vertical="top" wrapText="1"/>
    </xf>
    <xf numFmtId="0" fontId="106" fillId="0" borderId="0" xfId="1394" applyNumberFormat="1" applyFont="1" applyFill="1" applyBorder="1" applyAlignment="1" applyProtection="1">
      <alignment vertical="top" wrapText="1"/>
    </xf>
    <xf numFmtId="0" fontId="106" fillId="0" borderId="16" xfId="1394" applyNumberFormat="1" applyFont="1" applyFill="1" applyBorder="1" applyAlignment="1">
      <alignment horizontal="center" vertical="center"/>
    </xf>
    <xf numFmtId="0" fontId="106" fillId="0" borderId="16" xfId="1394" applyNumberFormat="1" applyFont="1" applyFill="1" applyBorder="1" applyAlignment="1">
      <alignment horizontal="center" vertical="center" wrapText="1"/>
    </xf>
    <xf numFmtId="0" fontId="106" fillId="0" borderId="16" xfId="50" applyFont="1" applyFill="1" applyBorder="1" applyAlignment="1">
      <alignment horizontal="center" vertical="center" wrapText="1"/>
    </xf>
    <xf numFmtId="0" fontId="106" fillId="0" borderId="16" xfId="1394" applyNumberFormat="1" applyFont="1" applyFill="1" applyBorder="1" applyAlignment="1" applyProtection="1">
      <alignment horizontal="center" vertical="center" wrapText="1"/>
    </xf>
    <xf numFmtId="0" fontId="106" fillId="0" borderId="0" xfId="50" applyFont="1" applyFill="1" applyBorder="1" applyAlignment="1">
      <alignment vertical="top" wrapText="1"/>
    </xf>
    <xf numFmtId="0" fontId="107" fillId="0" borderId="0" xfId="50" applyFont="1" applyFill="1" applyBorder="1" applyAlignment="1">
      <alignment horizontal="center" vertical="center"/>
    </xf>
    <xf numFmtId="0" fontId="107" fillId="0" borderId="0" xfId="1394" applyNumberFormat="1" applyFont="1" applyFill="1" applyBorder="1" applyAlignment="1">
      <alignment horizontal="right" wrapText="1"/>
    </xf>
    <xf numFmtId="166" fontId="107" fillId="0" borderId="0" xfId="46" quotePrefix="1" applyNumberFormat="1" applyFont="1" applyFill="1" applyBorder="1" applyAlignment="1">
      <alignment horizontal="right"/>
    </xf>
    <xf numFmtId="166" fontId="107" fillId="0" borderId="0" xfId="1394" quotePrefix="1" applyNumberFormat="1" applyFont="1" applyFill="1" applyBorder="1" applyAlignment="1" applyProtection="1">
      <alignment horizontal="right"/>
    </xf>
    <xf numFmtId="0" fontId="114" fillId="0" borderId="0" xfId="1523" applyFont="1" applyFill="1" applyBorder="1" applyAlignment="1">
      <alignment horizontal="center" vertical="center"/>
    </xf>
    <xf numFmtId="0" fontId="114" fillId="0" borderId="0" xfId="1523" applyFont="1" applyFill="1" applyBorder="1" applyAlignment="1">
      <alignment horizontal="center"/>
    </xf>
    <xf numFmtId="0" fontId="106" fillId="0" borderId="0" xfId="50" quotePrefix="1" applyFont="1" applyFill="1" applyBorder="1" applyAlignment="1">
      <alignment horizontal="right"/>
    </xf>
    <xf numFmtId="166" fontId="106" fillId="0" borderId="0" xfId="46" quotePrefix="1" applyNumberFormat="1" applyFont="1" applyFill="1" applyBorder="1" applyAlignment="1">
      <alignment horizontal="right"/>
    </xf>
    <xf numFmtId="166" fontId="106" fillId="0" borderId="0" xfId="1394" quotePrefix="1" applyNumberFormat="1" applyFont="1" applyFill="1" applyBorder="1" applyAlignment="1" applyProtection="1">
      <alignment horizontal="right"/>
    </xf>
    <xf numFmtId="166" fontId="106" fillId="0" borderId="0" xfId="1394" applyNumberFormat="1" applyFont="1" applyFill="1" applyBorder="1" applyAlignment="1" applyProtection="1">
      <alignment horizontal="right"/>
    </xf>
    <xf numFmtId="0" fontId="106" fillId="0" borderId="0" xfId="50" applyFont="1" applyFill="1" applyBorder="1" applyAlignment="1">
      <alignment vertical="top"/>
    </xf>
    <xf numFmtId="166" fontId="106" fillId="0" borderId="7" xfId="46" quotePrefix="1" applyNumberFormat="1" applyFont="1" applyFill="1" applyBorder="1" applyAlignment="1">
      <alignment horizontal="right"/>
    </xf>
    <xf numFmtId="0" fontId="106" fillId="0" borderId="0" xfId="50" quotePrefix="1" applyFont="1" applyFill="1" applyBorder="1" applyAlignment="1">
      <alignment horizontal="center" vertical="top"/>
    </xf>
    <xf numFmtId="166" fontId="106" fillId="0" borderId="0" xfId="1394" quotePrefix="1" applyNumberFormat="1" applyFont="1" applyFill="1" applyBorder="1" applyAlignment="1" applyProtection="1">
      <alignment horizontal="center" vertical="top"/>
    </xf>
    <xf numFmtId="166" fontId="106" fillId="0" borderId="0" xfId="1394" applyNumberFormat="1" applyFont="1" applyFill="1" applyBorder="1" applyAlignment="1" applyProtection="1">
      <alignment horizontal="center" vertical="top"/>
    </xf>
    <xf numFmtId="0" fontId="131" fillId="0" borderId="0" xfId="1395" applyNumberFormat="1" applyFont="1" applyFill="1" applyAlignment="1">
      <alignment vertical="top"/>
    </xf>
    <xf numFmtId="0" fontId="107" fillId="0" borderId="0" xfId="50" applyFont="1" applyFill="1" applyAlignment="1">
      <alignment horizontal="left" vertical="top" wrapText="1"/>
    </xf>
    <xf numFmtId="0" fontId="107" fillId="0" borderId="0" xfId="50" quotePrefix="1" applyFont="1" applyFill="1" applyAlignment="1">
      <alignment vertical="top"/>
    </xf>
    <xf numFmtId="0" fontId="107" fillId="0" borderId="0" xfId="1396" applyNumberFormat="1" applyFont="1" applyFill="1" applyAlignment="1">
      <alignment vertical="top"/>
    </xf>
    <xf numFmtId="203" fontId="107" fillId="0" borderId="0" xfId="1396" applyNumberFormat="1" applyFont="1" applyFill="1" applyAlignment="1">
      <alignment vertical="top"/>
    </xf>
    <xf numFmtId="203" fontId="107" fillId="0" borderId="0" xfId="1396" applyNumberFormat="1" applyFont="1" applyFill="1" applyAlignment="1" applyProtection="1">
      <alignment vertical="top"/>
    </xf>
    <xf numFmtId="203" fontId="107" fillId="0" borderId="0" xfId="1396" applyNumberFormat="1" applyFont="1" applyFill="1" applyBorder="1" applyAlignment="1" applyProtection="1">
      <alignment vertical="top"/>
    </xf>
    <xf numFmtId="10" fontId="107" fillId="0" borderId="0" xfId="534" applyNumberFormat="1" applyFont="1" applyFill="1" applyBorder="1" applyAlignment="1" applyProtection="1">
      <alignment vertical="top"/>
    </xf>
    <xf numFmtId="0" fontId="107" fillId="0" borderId="0" xfId="1398" applyNumberFormat="1" applyFont="1" applyFill="1" applyAlignment="1">
      <alignment vertical="top"/>
    </xf>
    <xf numFmtId="166" fontId="107" fillId="0" borderId="0" xfId="1394" applyNumberFormat="1" applyFont="1" applyFill="1" applyAlignment="1">
      <alignment horizontal="center" vertical="top"/>
    </xf>
    <xf numFmtId="0" fontId="106" fillId="0" borderId="0" xfId="50" applyNumberFormat="1" applyFont="1" applyFill="1" applyAlignment="1">
      <alignment horizontal="left" vertical="top"/>
    </xf>
    <xf numFmtId="0" fontId="106" fillId="0" borderId="0" xfId="1399" applyNumberFormat="1" applyFont="1" applyFill="1" applyAlignment="1">
      <alignment vertical="top"/>
    </xf>
    <xf numFmtId="227" fontId="107" fillId="0" borderId="0" xfId="1396" applyNumberFormat="1" applyFont="1" applyFill="1" applyAlignment="1">
      <alignment vertical="top"/>
    </xf>
    <xf numFmtId="0" fontId="106" fillId="0" borderId="0" xfId="1395" applyNumberFormat="1" applyFont="1" applyFill="1" applyAlignment="1">
      <alignment vertical="top"/>
    </xf>
    <xf numFmtId="10" fontId="107" fillId="0" borderId="0" xfId="534" applyNumberFormat="1" applyFont="1" applyFill="1" applyBorder="1" applyAlignment="1">
      <alignment horizontal="right" vertical="top"/>
    </xf>
    <xf numFmtId="0" fontId="106" fillId="0" borderId="0" xfId="1394" quotePrefix="1" applyNumberFormat="1" applyFont="1" applyFill="1" applyAlignment="1">
      <alignment vertical="top"/>
    </xf>
    <xf numFmtId="166" fontId="106" fillId="0" borderId="0" xfId="1394" applyNumberFormat="1" applyFont="1" applyFill="1" applyAlignment="1">
      <alignment vertical="top"/>
    </xf>
    <xf numFmtId="0" fontId="106" fillId="0" borderId="0" xfId="1467" applyFont="1" applyFill="1" applyBorder="1" applyAlignment="1">
      <alignment vertical="center"/>
    </xf>
    <xf numFmtId="0" fontId="106" fillId="0" borderId="0" xfId="30" applyNumberFormat="1" applyFont="1" applyFill="1" applyBorder="1" applyAlignment="1">
      <alignment vertical="top" wrapText="1"/>
    </xf>
    <xf numFmtId="166" fontId="107" fillId="0" borderId="0" xfId="1394" quotePrefix="1" applyNumberFormat="1" applyFont="1" applyFill="1" applyAlignment="1">
      <alignment horizontal="right" vertical="top"/>
    </xf>
    <xf numFmtId="43" fontId="107" fillId="0" borderId="0" xfId="46" applyFont="1" applyFill="1" applyBorder="1" applyAlignment="1">
      <alignment vertical="top"/>
    </xf>
    <xf numFmtId="166" fontId="133" fillId="0" borderId="0" xfId="50" applyNumberFormat="1" applyFont="1" applyFill="1" applyAlignment="1">
      <alignment vertical="top"/>
    </xf>
    <xf numFmtId="10" fontId="107" fillId="0" borderId="0" xfId="47" applyNumberFormat="1" applyFont="1" applyFill="1" applyBorder="1" applyAlignment="1">
      <alignment vertical="top"/>
    </xf>
    <xf numFmtId="10" fontId="107" fillId="0" borderId="0" xfId="47" applyNumberFormat="1" applyFont="1" applyFill="1" applyAlignment="1">
      <alignment vertical="top"/>
    </xf>
    <xf numFmtId="166" fontId="106" fillId="0" borderId="7" xfId="1394" applyNumberFormat="1" applyFont="1" applyFill="1" applyBorder="1" applyAlignment="1">
      <alignment vertical="top"/>
    </xf>
    <xf numFmtId="10" fontId="106" fillId="0" borderId="7" xfId="47" applyNumberFormat="1" applyFont="1" applyFill="1" applyBorder="1" applyAlignment="1">
      <alignment vertical="center"/>
    </xf>
    <xf numFmtId="10" fontId="106" fillId="0" borderId="0" xfId="47" applyNumberFormat="1" applyFont="1" applyFill="1" applyBorder="1" applyAlignment="1">
      <alignment vertical="center"/>
    </xf>
    <xf numFmtId="166" fontId="107" fillId="0" borderId="89" xfId="1394" applyNumberFormat="1" applyFont="1" applyFill="1" applyBorder="1" applyAlignment="1">
      <alignment vertical="top"/>
    </xf>
    <xf numFmtId="166" fontId="107" fillId="0" borderId="89" xfId="1394" applyNumberFormat="1" applyFont="1" applyFill="1" applyBorder="1" applyAlignment="1">
      <alignment vertical="center"/>
    </xf>
    <xf numFmtId="166" fontId="107" fillId="0" borderId="66" xfId="1394" applyNumberFormat="1" applyFont="1" applyFill="1" applyBorder="1" applyAlignment="1">
      <alignment vertical="center"/>
    </xf>
    <xf numFmtId="166" fontId="107" fillId="0" borderId="0" xfId="1394" applyNumberFormat="1" applyFont="1" applyFill="1" applyBorder="1" applyAlignment="1">
      <alignment vertical="center"/>
    </xf>
    <xf numFmtId="0" fontId="131" fillId="0" borderId="0" xfId="50" quotePrefix="1" applyFont="1" applyFill="1" applyAlignment="1">
      <alignment vertical="top"/>
    </xf>
    <xf numFmtId="0" fontId="130" fillId="0" borderId="16" xfId="1528" applyFont="1" applyFill="1" applyBorder="1" applyAlignment="1">
      <alignment horizontal="center" wrapText="1"/>
    </xf>
    <xf numFmtId="15" fontId="133" fillId="0" borderId="0" xfId="50" applyNumberFormat="1" applyFont="1" applyFill="1" applyAlignment="1">
      <alignment vertical="top"/>
    </xf>
    <xf numFmtId="15" fontId="133" fillId="0" borderId="0" xfId="50" applyNumberFormat="1" applyFont="1" applyFill="1" applyAlignment="1">
      <alignment horizontal="center" vertical="top"/>
    </xf>
    <xf numFmtId="10" fontId="131" fillId="0" borderId="0" xfId="50" applyNumberFormat="1" applyFont="1" applyFill="1" applyAlignment="1">
      <alignment horizontal="center" vertical="top"/>
    </xf>
    <xf numFmtId="166" fontId="106" fillId="0" borderId="0" xfId="1394" applyNumberFormat="1" applyFont="1" applyFill="1" applyBorder="1" applyAlignment="1">
      <alignment vertical="top"/>
    </xf>
    <xf numFmtId="0" fontId="130" fillId="0" borderId="0" xfId="939" applyNumberFormat="1" applyFont="1" applyFill="1" applyAlignment="1">
      <alignment horizontal="left" vertical="top"/>
    </xf>
    <xf numFmtId="0" fontId="130" fillId="0" borderId="0" xfId="939" applyNumberFormat="1" applyFont="1" applyFill="1" applyAlignment="1">
      <alignment horizontal="left" vertical="top" indent="1"/>
    </xf>
    <xf numFmtId="166" fontId="130" fillId="0" borderId="66" xfId="46" applyNumberFormat="1" applyFont="1" applyFill="1" applyBorder="1" applyAlignment="1">
      <alignment horizontal="right"/>
    </xf>
    <xf numFmtId="166" fontId="130" fillId="0" borderId="66" xfId="50" applyNumberFormat="1" applyFont="1" applyFill="1" applyBorder="1" applyAlignment="1">
      <alignment horizontal="right"/>
    </xf>
    <xf numFmtId="0" fontId="131" fillId="0" borderId="0" xfId="939" applyNumberFormat="1" applyFont="1" applyFill="1" applyAlignment="1">
      <alignment horizontal="left" vertical="top"/>
    </xf>
    <xf numFmtId="166" fontId="130" fillId="0" borderId="66" xfId="50" applyNumberFormat="1" applyFont="1" applyFill="1" applyBorder="1" applyAlignment="1">
      <alignment vertical="top"/>
    </xf>
    <xf numFmtId="166" fontId="131" fillId="0" borderId="66" xfId="50" applyNumberFormat="1" applyFont="1" applyFill="1" applyBorder="1" applyAlignment="1">
      <alignment vertical="top"/>
    </xf>
    <xf numFmtId="49" fontId="130" fillId="0" borderId="0" xfId="1525" quotePrefix="1" applyNumberFormat="1" applyFont="1" applyFill="1"/>
    <xf numFmtId="203" fontId="130" fillId="0" borderId="7" xfId="1263" applyNumberFormat="1" applyFont="1" applyFill="1" applyBorder="1" applyAlignment="1"/>
    <xf numFmtId="203" fontId="131" fillId="0" borderId="66" xfId="29" applyNumberFormat="1" applyFont="1" applyFill="1" applyBorder="1" applyAlignment="1"/>
    <xf numFmtId="49" fontId="130" fillId="0" borderId="0" xfId="1525" quotePrefix="1" applyNumberFormat="1" applyFont="1" applyFill="1" applyBorder="1"/>
    <xf numFmtId="166" fontId="106" fillId="0" borderId="0" xfId="1394" applyNumberFormat="1" applyFont="1" applyFill="1" applyBorder="1" applyAlignment="1">
      <alignment horizontal="center" vertical="center"/>
    </xf>
    <xf numFmtId="166" fontId="106" fillId="0" borderId="0" xfId="1394" quotePrefix="1" applyNumberFormat="1" applyFont="1" applyFill="1" applyBorder="1" applyAlignment="1">
      <alignment horizontal="center" vertical="center"/>
    </xf>
    <xf numFmtId="166" fontId="106" fillId="0" borderId="0" xfId="1394" applyNumberFormat="1" applyFont="1" applyFill="1" applyBorder="1" applyAlignment="1">
      <alignment horizontal="center" vertical="top"/>
    </xf>
    <xf numFmtId="171" fontId="131" fillId="0" borderId="0" xfId="175" quotePrefix="1" applyNumberFormat="1" applyFont="1" applyFill="1" applyBorder="1" applyAlignment="1">
      <alignment horizontal="left" vertical="top"/>
    </xf>
    <xf numFmtId="14" fontId="107" fillId="0" borderId="0" xfId="1394" applyNumberFormat="1" applyFont="1" applyFill="1" applyBorder="1" applyAlignment="1">
      <alignment horizontal="center" vertical="center"/>
    </xf>
    <xf numFmtId="166" fontId="107" fillId="0" borderId="0" xfId="46" applyNumberFormat="1" applyFont="1" applyFill="1" applyAlignment="1">
      <alignment horizontal="right" vertical="top"/>
    </xf>
    <xf numFmtId="166" fontId="107" fillId="0" borderId="0" xfId="534" applyNumberFormat="1" applyFont="1" applyFill="1" applyAlignment="1">
      <alignment horizontal="right" vertical="top"/>
    </xf>
    <xf numFmtId="166" fontId="107" fillId="0" borderId="0" xfId="1394" applyNumberFormat="1" applyFont="1" applyFill="1" applyBorder="1" applyAlignment="1">
      <alignment horizontal="center" vertical="center"/>
    </xf>
    <xf numFmtId="174" fontId="107" fillId="0" borderId="0" xfId="21" applyNumberFormat="1" applyFont="1" applyFill="1" applyBorder="1" applyAlignment="1">
      <alignment horizontal="left" vertical="top"/>
    </xf>
    <xf numFmtId="0" fontId="137" fillId="0" borderId="0" xfId="1394" applyNumberFormat="1" applyFont="1" applyFill="1" applyBorder="1" applyAlignment="1">
      <alignment vertical="top" wrapText="1"/>
    </xf>
    <xf numFmtId="0" fontId="137" fillId="0" borderId="0" xfId="1394" quotePrefix="1" applyNumberFormat="1" applyFont="1" applyFill="1" applyAlignment="1">
      <alignment vertical="top"/>
    </xf>
    <xf numFmtId="0" fontId="138" fillId="0" borderId="0" xfId="1525" applyFont="1" applyFill="1" applyAlignment="1">
      <alignment vertical="top"/>
    </xf>
    <xf numFmtId="49" fontId="138" fillId="0" borderId="0" xfId="1525" quotePrefix="1" applyNumberFormat="1" applyFont="1" applyFill="1"/>
    <xf numFmtId="173" fontId="106" fillId="0" borderId="5" xfId="19" applyNumberFormat="1" applyFont="1" applyFill="1" applyBorder="1" applyAlignment="1">
      <alignment horizontal="right"/>
    </xf>
    <xf numFmtId="43" fontId="110" fillId="0" borderId="0" xfId="1455" quotePrefix="1" applyNumberFormat="1" applyFont="1" applyFill="1" applyAlignment="1">
      <alignment vertical="top"/>
    </xf>
    <xf numFmtId="43" fontId="109" fillId="0" borderId="0" xfId="50" quotePrefix="1" applyNumberFormat="1" applyFont="1" applyFill="1" applyAlignment="1">
      <alignment vertical="top" wrapText="1"/>
    </xf>
    <xf numFmtId="43" fontId="107" fillId="0" borderId="0" xfId="46" applyNumberFormat="1" applyFont="1" applyFill="1" applyAlignment="1"/>
    <xf numFmtId="0" fontId="107" fillId="0" borderId="0" xfId="2" applyFont="1" applyFill="1" applyAlignment="1">
      <alignment horizontal="justify"/>
    </xf>
    <xf numFmtId="0" fontId="110" fillId="0" borderId="0" xfId="0" applyFont="1" applyFill="1" applyAlignment="1">
      <alignment vertical="top" wrapText="1"/>
    </xf>
    <xf numFmtId="0" fontId="130" fillId="0" borderId="83" xfId="939" applyNumberFormat="1" applyFont="1" applyFill="1" applyBorder="1" applyAlignment="1">
      <alignment horizontal="center"/>
    </xf>
    <xf numFmtId="166" fontId="107" fillId="0" borderId="0" xfId="1394" applyNumberFormat="1" applyFont="1" applyFill="1" applyAlignment="1">
      <alignment horizontal="center" vertical="top"/>
    </xf>
    <xf numFmtId="43" fontId="0" fillId="0" borderId="0" xfId="0" applyNumberFormat="1"/>
    <xf numFmtId="3" fontId="107" fillId="0" borderId="0" xfId="2" applyNumberFormat="1" applyFont="1" applyFill="1" applyAlignment="1"/>
    <xf numFmtId="43" fontId="107" fillId="0" borderId="0" xfId="2" applyNumberFormat="1" applyFont="1" applyFill="1" applyAlignment="1"/>
    <xf numFmtId="203" fontId="106" fillId="0" borderId="70" xfId="1412" applyFont="1" applyFill="1" applyBorder="1" applyProtection="1">
      <protection locked="0"/>
    </xf>
    <xf numFmtId="203" fontId="106" fillId="0" borderId="69" xfId="1412" applyFont="1" applyFill="1" applyBorder="1"/>
    <xf numFmtId="203" fontId="106" fillId="0" borderId="6" xfId="1412" applyFont="1" applyFill="1" applyBorder="1"/>
    <xf numFmtId="203" fontId="106" fillId="0" borderId="7" xfId="1412" applyFont="1" applyFill="1" applyBorder="1" applyAlignment="1">
      <alignment vertical="center"/>
    </xf>
    <xf numFmtId="203" fontId="106" fillId="0" borderId="7" xfId="1412" applyFont="1" applyFill="1" applyBorder="1" applyAlignment="1" applyProtection="1">
      <alignment vertical="center"/>
    </xf>
    <xf numFmtId="178" fontId="106" fillId="0" borderId="66" xfId="1411" applyNumberFormat="1" applyFont="1" applyFill="1" applyBorder="1" applyAlignment="1">
      <alignment horizontal="center" vertical="top"/>
    </xf>
    <xf numFmtId="166" fontId="106" fillId="0" borderId="0" xfId="1410" applyNumberFormat="1" applyFont="1" applyFill="1" applyBorder="1" applyAlignment="1">
      <alignment horizontal="center" vertical="top"/>
      <protection locked="0"/>
    </xf>
    <xf numFmtId="178" fontId="106" fillId="0" borderId="66" xfId="1415" applyNumberFormat="1" applyFont="1" applyFill="1" applyBorder="1" applyAlignment="1">
      <alignment horizontal="center" vertical="top"/>
    </xf>
    <xf numFmtId="173" fontId="106" fillId="0" borderId="6" xfId="19" applyNumberFormat="1" applyFont="1" applyFill="1" applyBorder="1" applyAlignment="1">
      <alignment horizontal="right"/>
    </xf>
    <xf numFmtId="166" fontId="107" fillId="0" borderId="0" xfId="46" applyNumberFormat="1" applyFont="1" applyFill="1" applyBorder="1" applyAlignment="1">
      <alignment vertical="center"/>
    </xf>
    <xf numFmtId="166" fontId="107" fillId="0" borderId="0" xfId="46" quotePrefix="1" applyNumberFormat="1" applyFont="1" applyFill="1" applyBorder="1" applyAlignment="1"/>
    <xf numFmtId="166" fontId="107" fillId="0" borderId="0" xfId="46" applyNumberFormat="1" applyFont="1" applyFill="1" applyBorder="1" applyAlignment="1">
      <alignment wrapText="1"/>
    </xf>
    <xf numFmtId="166" fontId="114" fillId="0" borderId="0" xfId="46" applyNumberFormat="1" applyFont="1" applyFill="1" applyBorder="1" applyAlignment="1">
      <alignment vertical="center"/>
    </xf>
    <xf numFmtId="10" fontId="107" fillId="0" borderId="0" xfId="47" quotePrefix="1" applyNumberFormat="1" applyFont="1" applyFill="1" applyBorder="1" applyAlignment="1" applyProtection="1">
      <alignment horizontal="right"/>
    </xf>
    <xf numFmtId="10" fontId="107" fillId="0" borderId="0" xfId="47" applyNumberFormat="1" applyFont="1" applyFill="1" applyBorder="1" applyAlignment="1" applyProtection="1">
      <alignment horizontal="right"/>
    </xf>
    <xf numFmtId="0" fontId="106" fillId="0" borderId="0" xfId="1398" applyNumberFormat="1" applyFont="1" applyFill="1" applyBorder="1" applyAlignment="1">
      <alignment vertical="top"/>
    </xf>
    <xf numFmtId="166" fontId="107" fillId="0" borderId="66" xfId="46" quotePrefix="1" applyNumberFormat="1" applyFont="1" applyFill="1" applyBorder="1" applyAlignment="1">
      <alignment horizontal="right"/>
    </xf>
    <xf numFmtId="166" fontId="107" fillId="0" borderId="0" xfId="46" applyNumberFormat="1" applyFont="1" applyFill="1" applyBorder="1" applyAlignment="1">
      <alignment vertical="top"/>
    </xf>
    <xf numFmtId="166" fontId="106" fillId="0" borderId="66" xfId="1394" applyNumberFormat="1" applyFont="1" applyFill="1" applyBorder="1" applyAlignment="1">
      <alignment vertical="top"/>
    </xf>
    <xf numFmtId="10" fontId="106" fillId="0" borderId="66" xfId="47" applyNumberFormat="1" applyFont="1" applyFill="1" applyBorder="1" applyAlignment="1">
      <alignment vertical="center"/>
    </xf>
    <xf numFmtId="166" fontId="106" fillId="0" borderId="7" xfId="1394" applyNumberFormat="1" applyFont="1" applyFill="1" applyBorder="1" applyAlignment="1">
      <alignment horizontal="center" vertical="top"/>
    </xf>
    <xf numFmtId="166" fontId="131" fillId="0" borderId="0" xfId="46" applyNumberFormat="1" applyFont="1" applyFill="1" applyAlignment="1">
      <alignment vertical="top"/>
    </xf>
    <xf numFmtId="10" fontId="131" fillId="0" borderId="0" xfId="47" applyNumberFormat="1" applyFont="1" applyFill="1" applyAlignment="1">
      <alignment vertical="top"/>
    </xf>
    <xf numFmtId="0" fontId="133" fillId="0" borderId="0" xfId="50" applyFont="1" applyFill="1" applyAlignment="1">
      <alignment horizontal="center" vertical="top"/>
    </xf>
    <xf numFmtId="14" fontId="107" fillId="0" borderId="0" xfId="1394" applyNumberFormat="1" applyFont="1" applyFill="1" applyAlignment="1">
      <alignment horizontal="center" vertical="top"/>
    </xf>
    <xf numFmtId="15" fontId="107" fillId="0" borderId="0" xfId="1394" applyNumberFormat="1" applyFont="1" applyFill="1" applyAlignment="1">
      <alignment vertical="top"/>
    </xf>
    <xf numFmtId="0" fontId="141" fillId="0" borderId="0" xfId="50" applyFont="1" applyFill="1" applyBorder="1" applyAlignment="1">
      <alignment horizontal="left" vertical="top" wrapText="1"/>
    </xf>
    <xf numFmtId="0" fontId="141" fillId="0" borderId="0" xfId="14" quotePrefix="1" applyNumberFormat="1" applyFont="1" applyFill="1" applyAlignment="1">
      <alignment horizontal="left" vertical="top"/>
    </xf>
    <xf numFmtId="0" fontId="141" fillId="0" borderId="0" xfId="1394" applyNumberFormat="1" applyFont="1" applyFill="1" applyAlignment="1">
      <alignment horizontal="left" vertical="top"/>
    </xf>
    <xf numFmtId="49" fontId="110" fillId="0" borderId="0" xfId="1" quotePrefix="1" applyNumberFormat="1" applyFont="1" applyAlignment="1">
      <alignment horizontal="center"/>
    </xf>
    <xf numFmtId="166" fontId="107" fillId="0" borderId="0" xfId="4" applyNumberFormat="1" applyFont="1" applyBorder="1" applyAlignment="1" applyProtection="1">
      <alignment horizontal="center" vertical="top"/>
      <protection locked="0"/>
    </xf>
    <xf numFmtId="178" fontId="112" fillId="0" borderId="0" xfId="4" applyNumberFormat="1" applyFont="1" applyBorder="1" applyAlignment="1" applyProtection="1">
      <alignment horizontal="center" vertical="top"/>
      <protection locked="0"/>
    </xf>
    <xf numFmtId="0" fontId="126" fillId="0" borderId="0" xfId="1457" quotePrefix="1" applyFont="1" applyFill="1" applyAlignment="1">
      <alignment horizontal="center"/>
    </xf>
    <xf numFmtId="0" fontId="127" fillId="0" borderId="0" xfId="50" quotePrefix="1" applyFont="1" applyFill="1" applyAlignment="1">
      <alignment horizontal="center"/>
    </xf>
    <xf numFmtId="10" fontId="107" fillId="0" borderId="0" xfId="2" applyNumberFormat="1" applyFont="1" applyFill="1" applyAlignment="1">
      <alignment horizontal="justify"/>
    </xf>
    <xf numFmtId="10" fontId="107" fillId="0" borderId="0" xfId="2" applyNumberFormat="1" applyFont="1" applyFill="1" applyAlignment="1">
      <alignment vertical="top"/>
    </xf>
    <xf numFmtId="171" fontId="106" fillId="0" borderId="0" xfId="333" applyNumberFormat="1" applyFont="1" applyFill="1" applyAlignment="1">
      <alignment horizontal="left" vertical="top"/>
    </xf>
    <xf numFmtId="0" fontId="106" fillId="0" borderId="0" xfId="333" applyNumberFormat="1" applyFont="1" applyFill="1" applyAlignment="1">
      <alignment vertical="top"/>
    </xf>
    <xf numFmtId="0" fontId="106" fillId="0" borderId="0" xfId="333" applyNumberFormat="1" applyFont="1" applyFill="1" applyAlignment="1">
      <alignment horizontal="left"/>
    </xf>
    <xf numFmtId="0" fontId="125" fillId="0" borderId="0" xfId="2" applyFont="1" applyFill="1" applyAlignment="1">
      <alignment vertical="center"/>
    </xf>
    <xf numFmtId="0" fontId="126" fillId="0" borderId="0" xfId="333" applyNumberFormat="1" applyFont="1" applyFill="1" applyAlignment="1">
      <alignment vertical="top" wrapText="1"/>
    </xf>
    <xf numFmtId="166" fontId="126" fillId="0" borderId="0" xfId="46" quotePrefix="1" applyNumberFormat="1" applyFont="1" applyFill="1" applyAlignment="1">
      <alignment horizontal="center"/>
    </xf>
    <xf numFmtId="166" fontId="127" fillId="0" borderId="0" xfId="46" quotePrefix="1" applyNumberFormat="1" applyFont="1" applyFill="1" applyAlignment="1">
      <alignment horizontal="center"/>
    </xf>
    <xf numFmtId="166" fontId="126" fillId="0" borderId="0" xfId="46" quotePrefix="1" applyNumberFormat="1" applyFont="1" applyFill="1" applyAlignment="1">
      <alignment horizontal="center" vertical="center"/>
    </xf>
    <xf numFmtId="166" fontId="126" fillId="0" borderId="0" xfId="46" applyNumberFormat="1" applyFont="1" applyFill="1" applyAlignment="1">
      <alignment horizontal="center" vertical="center"/>
    </xf>
    <xf numFmtId="166" fontId="127" fillId="0" borderId="0" xfId="46" quotePrefix="1" applyNumberFormat="1" applyFont="1" applyFill="1" applyAlignment="1">
      <alignment horizontal="center" vertical="center"/>
    </xf>
    <xf numFmtId="166" fontId="106" fillId="0" borderId="0" xfId="46" applyNumberFormat="1" applyFont="1" applyFill="1" applyAlignment="1">
      <alignment horizontal="center" vertical="center"/>
    </xf>
    <xf numFmtId="0" fontId="126" fillId="0" borderId="0" xfId="50" applyFont="1" applyFill="1" applyBorder="1" applyAlignment="1">
      <alignment horizontal="left" vertical="top" wrapText="1"/>
    </xf>
    <xf numFmtId="0" fontId="107" fillId="43" borderId="0" xfId="2" applyFont="1" applyFill="1"/>
    <xf numFmtId="166" fontId="126" fillId="43" borderId="0" xfId="332" applyNumberFormat="1" applyFont="1" applyFill="1" applyAlignment="1"/>
    <xf numFmtId="0" fontId="106" fillId="0" borderId="0" xfId="30" quotePrefix="1" applyNumberFormat="1" applyFont="1" applyFill="1" applyBorder="1" applyAlignment="1">
      <alignment horizontal="center" vertical="top" wrapText="1"/>
    </xf>
    <xf numFmtId="10" fontId="107" fillId="0" borderId="0" xfId="47" applyNumberFormat="1" applyFont="1" applyFill="1" applyAlignment="1">
      <alignment horizontal="left" vertical="top"/>
    </xf>
    <xf numFmtId="0" fontId="107" fillId="0" borderId="0" xfId="8" applyFont="1" applyFill="1" applyBorder="1" applyAlignment="1">
      <alignment vertical="top"/>
    </xf>
    <xf numFmtId="0" fontId="106" fillId="0" borderId="0" xfId="8" quotePrefix="1" applyFont="1" applyFill="1" applyAlignment="1">
      <alignment horizontal="center" vertical="top"/>
    </xf>
    <xf numFmtId="0" fontId="106" fillId="0" borderId="0" xfId="36" applyFont="1" applyFill="1" applyBorder="1" applyAlignment="1">
      <alignment vertical="top"/>
    </xf>
    <xf numFmtId="0" fontId="106" fillId="0" borderId="87" xfId="0" applyFont="1" applyFill="1" applyBorder="1" applyAlignment="1">
      <alignment horizontal="center" vertical="top"/>
    </xf>
    <xf numFmtId="0" fontId="106" fillId="0" borderId="0" xfId="8" applyFont="1" applyFill="1" applyBorder="1" applyAlignment="1">
      <alignment vertical="top"/>
    </xf>
    <xf numFmtId="0" fontId="106" fillId="0" borderId="6" xfId="0" applyNumberFormat="1" applyFont="1" applyFill="1" applyBorder="1" applyAlignment="1">
      <alignment horizontal="center" vertical="top"/>
    </xf>
    <xf numFmtId="0" fontId="107" fillId="0" borderId="0" xfId="476" applyFont="1" applyFill="1" applyBorder="1" applyAlignment="1">
      <alignment vertical="top"/>
    </xf>
    <xf numFmtId="0" fontId="106" fillId="0" borderId="0" xfId="36" applyFont="1" applyFill="1" applyBorder="1" applyAlignment="1">
      <alignment horizontal="center" vertical="top" wrapText="1"/>
    </xf>
    <xf numFmtId="0" fontId="106" fillId="0" borderId="0" xfId="8" applyFont="1" applyFill="1" applyBorder="1" applyAlignment="1">
      <alignment horizontal="center" vertical="top" wrapText="1"/>
    </xf>
    <xf numFmtId="166" fontId="106" fillId="0" borderId="0" xfId="94" applyNumberFormat="1" applyFont="1" applyFill="1" applyBorder="1" applyAlignment="1">
      <alignment horizontal="center" vertical="top"/>
    </xf>
    <xf numFmtId="49" fontId="107" fillId="0" borderId="0" xfId="8" applyNumberFormat="1" applyFont="1" applyFill="1" applyAlignment="1">
      <alignment vertical="top"/>
    </xf>
    <xf numFmtId="0" fontId="107" fillId="0" borderId="0" xfId="8" applyNumberFormat="1" applyFont="1" applyFill="1" applyBorder="1" applyAlignment="1">
      <alignment horizontal="center" vertical="top"/>
    </xf>
    <xf numFmtId="49" fontId="107" fillId="0" borderId="0" xfId="476" applyNumberFormat="1" applyFont="1" applyFill="1" applyBorder="1" applyAlignment="1">
      <alignment horizontal="center" vertical="top"/>
    </xf>
    <xf numFmtId="0" fontId="107" fillId="0" borderId="0" xfId="8" quotePrefix="1" applyFont="1" applyFill="1" applyAlignment="1">
      <alignment horizontal="left" vertical="top"/>
    </xf>
    <xf numFmtId="49" fontId="107" fillId="0" borderId="0" xfId="8" applyNumberFormat="1" applyFont="1" applyFill="1" applyBorder="1" applyAlignment="1">
      <alignment vertical="top"/>
    </xf>
    <xf numFmtId="49" fontId="107" fillId="0" borderId="0" xfId="8" applyNumberFormat="1" applyFont="1" applyFill="1" applyBorder="1" applyAlignment="1">
      <alignment horizontal="center" vertical="top"/>
    </xf>
    <xf numFmtId="166" fontId="106" fillId="0" borderId="7" xfId="303" applyNumberFormat="1" applyFont="1" applyFill="1" applyBorder="1" applyAlignment="1">
      <alignment vertical="top"/>
    </xf>
    <xf numFmtId="166" fontId="106" fillId="0" borderId="0" xfId="94" applyNumberFormat="1" applyFont="1" applyFill="1" applyBorder="1" applyAlignment="1">
      <alignment vertical="top"/>
    </xf>
    <xf numFmtId="49" fontId="107" fillId="0" borderId="0" xfId="8" applyNumberFormat="1" applyFont="1" applyFill="1" applyAlignment="1">
      <alignment horizontal="center" vertical="top"/>
    </xf>
    <xf numFmtId="166" fontId="106" fillId="0" borderId="6" xfId="46" applyNumberFormat="1" applyFont="1" applyFill="1" applyBorder="1"/>
    <xf numFmtId="166" fontId="126" fillId="0" borderId="0" xfId="1431" quotePrefix="1" applyNumberFormat="1" applyFont="1" applyFill="1" applyBorder="1" applyAlignment="1">
      <alignment horizontal="center"/>
    </xf>
    <xf numFmtId="0" fontId="106" fillId="0" borderId="0" xfId="2" applyFont="1" applyFill="1" applyAlignment="1">
      <alignment horizontal="center"/>
    </xf>
    <xf numFmtId="0" fontId="106" fillId="0" borderId="0" xfId="0" quotePrefix="1" applyNumberFormat="1" applyFont="1" applyFill="1" applyAlignment="1">
      <alignment horizontal="center"/>
    </xf>
    <xf numFmtId="0" fontId="106" fillId="0" borderId="0" xfId="2" quotePrefix="1" applyFont="1" applyFill="1" applyAlignment="1">
      <alignment horizontal="center"/>
    </xf>
    <xf numFmtId="0" fontId="124" fillId="0" borderId="0" xfId="0" applyFont="1" applyAlignment="1">
      <alignment horizontal="center"/>
    </xf>
    <xf numFmtId="0" fontId="106" fillId="0" borderId="0" xfId="0" quotePrefix="1" applyFont="1" applyFill="1" applyAlignment="1">
      <alignment horizontal="center"/>
    </xf>
    <xf numFmtId="0" fontId="3" fillId="0" borderId="0" xfId="1" applyNumberFormat="1" applyFont="1" applyFill="1" applyAlignment="1">
      <alignment horizontal="center" vertical="top"/>
    </xf>
    <xf numFmtId="0" fontId="3" fillId="0" borderId="0" xfId="2" applyFont="1" applyFill="1" applyAlignment="1">
      <alignment horizontal="center" vertical="top"/>
    </xf>
    <xf numFmtId="16" fontId="3" fillId="0" borderId="67" xfId="1" quotePrefix="1" applyNumberFormat="1" applyFont="1" applyFill="1" applyBorder="1" applyAlignment="1">
      <alignment horizontal="center" vertical="top"/>
    </xf>
    <xf numFmtId="0" fontId="106" fillId="0" borderId="0" xfId="2" applyFont="1" applyFill="1" applyAlignment="1">
      <alignment horizontal="center" vertical="top"/>
    </xf>
    <xf numFmtId="37" fontId="107" fillId="0" borderId="0" xfId="4" applyNumberFormat="1" applyFont="1" applyFill="1" applyBorder="1" applyAlignment="1" applyProtection="1">
      <alignment horizontal="left" wrapText="1"/>
    </xf>
    <xf numFmtId="0" fontId="106" fillId="0" borderId="0" xfId="5" quotePrefix="1" applyFont="1" applyFill="1" applyAlignment="1">
      <alignment horizontal="center" vertical="top"/>
    </xf>
    <xf numFmtId="0" fontId="106" fillId="0" borderId="0" xfId="0" applyFont="1" applyFill="1" applyAlignment="1">
      <alignment horizontal="center"/>
    </xf>
    <xf numFmtId="0" fontId="106" fillId="0" borderId="0" xfId="1" applyNumberFormat="1" applyFont="1" applyFill="1" applyAlignment="1">
      <alignment horizontal="center" vertical="top"/>
    </xf>
    <xf numFmtId="16" fontId="106" fillId="0" borderId="2" xfId="1" quotePrefix="1" applyNumberFormat="1" applyFont="1" applyFill="1" applyBorder="1" applyAlignment="1">
      <alignment horizontal="center" vertical="top"/>
    </xf>
    <xf numFmtId="0" fontId="106" fillId="0" borderId="0" xfId="0" quotePrefix="1" applyFont="1" applyFill="1" applyAlignment="1">
      <alignment horizontal="center" vertical="top"/>
    </xf>
    <xf numFmtId="0" fontId="107" fillId="0" borderId="0" xfId="5" quotePrefix="1" applyFont="1" applyFill="1" applyAlignment="1">
      <alignment horizontal="center" vertical="top"/>
    </xf>
    <xf numFmtId="0" fontId="106" fillId="0" borderId="0" xfId="50" applyFont="1" applyFill="1" applyAlignment="1">
      <alignment horizontal="center"/>
    </xf>
    <xf numFmtId="0" fontId="1" fillId="0" borderId="0" xfId="0" applyFont="1" applyAlignment="1">
      <alignment horizontal="center"/>
    </xf>
    <xf numFmtId="0" fontId="106" fillId="0" borderId="0" xfId="5" quotePrefix="1" applyFont="1" applyFill="1" applyAlignment="1">
      <alignment horizontal="center"/>
    </xf>
    <xf numFmtId="0" fontId="106" fillId="0" borderId="0" xfId="5" applyFont="1" applyFill="1" applyAlignment="1">
      <alignment horizontal="center"/>
    </xf>
    <xf numFmtId="0" fontId="106" fillId="0" borderId="0" xfId="4" quotePrefix="1" applyFont="1" applyFill="1" applyAlignment="1">
      <alignment horizontal="center" vertical="top"/>
    </xf>
    <xf numFmtId="0" fontId="107" fillId="0" borderId="0" xfId="2" applyNumberFormat="1" applyFont="1" applyFill="1" applyAlignment="1">
      <alignment horizontal="justify" vertical="top" wrapText="1"/>
    </xf>
    <xf numFmtId="0" fontId="107" fillId="0" borderId="0" xfId="17" applyNumberFormat="1" applyFont="1" applyFill="1" applyAlignment="1">
      <alignment horizontal="justify" vertical="top" wrapText="1"/>
    </xf>
    <xf numFmtId="0" fontId="107" fillId="0" borderId="0" xfId="13" applyFont="1" applyFill="1" applyAlignment="1">
      <alignment horizontal="left" vertical="top" wrapText="1"/>
    </xf>
    <xf numFmtId="170" fontId="107" fillId="0" borderId="0" xfId="4" applyNumberFormat="1" applyFont="1" applyFill="1" applyAlignment="1">
      <alignment horizontal="justify" vertical="top" wrapText="1"/>
    </xf>
    <xf numFmtId="0" fontId="107" fillId="0" borderId="0" xfId="16" applyNumberFormat="1" applyFont="1" applyFill="1" applyAlignment="1">
      <alignment vertical="top" wrapText="1"/>
    </xf>
    <xf numFmtId="0" fontId="107" fillId="0" borderId="0" xfId="0" quotePrefix="1" applyFont="1" applyFill="1" applyAlignment="1">
      <alignment horizontal="justify" vertical="top" wrapText="1"/>
    </xf>
    <xf numFmtId="0" fontId="107" fillId="0" borderId="0" xfId="0" applyFont="1" applyFill="1" applyAlignment="1">
      <alignment horizontal="justify" vertical="top" wrapText="1"/>
    </xf>
    <xf numFmtId="0" fontId="110" fillId="0" borderId="0" xfId="0" applyFont="1" applyFill="1" applyAlignment="1">
      <alignment horizontal="justify" vertical="top" wrapText="1"/>
    </xf>
    <xf numFmtId="0" fontId="107" fillId="0" borderId="0" xfId="0" applyFont="1" applyFill="1" applyAlignment="1" applyProtection="1">
      <alignment horizontal="justify" vertical="top" wrapText="1"/>
    </xf>
    <xf numFmtId="0" fontId="107" fillId="0" borderId="0" xfId="0" applyFont="1" applyFill="1" applyAlignment="1" applyProtection="1">
      <alignment vertical="top" wrapText="1"/>
    </xf>
    <xf numFmtId="0" fontId="107" fillId="0" borderId="0" xfId="15" applyFont="1" applyFill="1" applyAlignment="1">
      <alignment horizontal="justify" vertical="top" wrapText="1"/>
    </xf>
    <xf numFmtId="0" fontId="107" fillId="0" borderId="0" xfId="2" applyFont="1" applyFill="1" applyAlignment="1">
      <alignment horizontal="left" vertical="top" wrapText="1"/>
    </xf>
    <xf numFmtId="0" fontId="107" fillId="0" borderId="0" xfId="13" applyFont="1" applyFill="1" applyAlignment="1">
      <alignment horizontal="justify" vertical="top" wrapText="1"/>
    </xf>
    <xf numFmtId="0" fontId="107" fillId="0" borderId="0" xfId="2" applyNumberFormat="1" applyFont="1" applyFill="1" applyAlignment="1" applyProtection="1">
      <alignment horizontal="justify" vertical="top" wrapText="1"/>
      <protection locked="0"/>
    </xf>
    <xf numFmtId="0" fontId="107" fillId="0" borderId="0" xfId="3" applyFont="1" applyFill="1" applyAlignment="1">
      <alignment horizontal="justify" vertical="top" wrapText="1"/>
    </xf>
    <xf numFmtId="0" fontId="107" fillId="0" borderId="0" xfId="2" applyFont="1" applyFill="1" applyAlignment="1">
      <alignment horizontal="justify" vertical="top" wrapText="1"/>
    </xf>
    <xf numFmtId="0" fontId="110" fillId="0" borderId="0" xfId="2" applyFont="1" applyFill="1" applyAlignment="1">
      <alignment horizontal="justify" vertical="top" wrapText="1"/>
    </xf>
    <xf numFmtId="0" fontId="107" fillId="0" borderId="0" xfId="0" quotePrefix="1" applyFont="1" applyFill="1" applyAlignment="1" applyProtection="1">
      <alignment horizontal="justify" vertical="top" wrapText="1"/>
    </xf>
    <xf numFmtId="0" fontId="106" fillId="0" borderId="0" xfId="14" applyFont="1" applyFill="1" applyAlignment="1">
      <alignment horizontal="left" vertical="top" wrapText="1"/>
    </xf>
    <xf numFmtId="0" fontId="106" fillId="0" borderId="0" xfId="30" quotePrefix="1" applyNumberFormat="1" applyFont="1" applyFill="1" applyBorder="1" applyAlignment="1">
      <alignment horizontal="center" vertical="top" wrapText="1"/>
    </xf>
    <xf numFmtId="0" fontId="106" fillId="0" borderId="70" xfId="30" quotePrefix="1" applyNumberFormat="1" applyFont="1" applyFill="1" applyBorder="1" applyAlignment="1">
      <alignment horizontal="center" vertical="top" wrapText="1"/>
    </xf>
    <xf numFmtId="0" fontId="134" fillId="0" borderId="83" xfId="50" applyFont="1" applyFill="1" applyBorder="1" applyAlignment="1">
      <alignment horizontal="center" wrapText="1"/>
    </xf>
    <xf numFmtId="0" fontId="134" fillId="0" borderId="84" xfId="50" applyFont="1" applyFill="1" applyBorder="1" applyAlignment="1">
      <alignment horizontal="center" wrapText="1"/>
    </xf>
    <xf numFmtId="10" fontId="107" fillId="0" borderId="0" xfId="1397" applyNumberFormat="1" applyFont="1" applyFill="1" applyAlignment="1">
      <alignment horizontal="center" vertical="top" wrapText="1"/>
    </xf>
    <xf numFmtId="0" fontId="106" fillId="0" borderId="81" xfId="1398" applyNumberFormat="1" applyFont="1" applyFill="1" applyBorder="1" applyAlignment="1">
      <alignment horizontal="center" vertical="center" wrapText="1"/>
    </xf>
    <xf numFmtId="0" fontId="106" fillId="0" borderId="82" xfId="1398" applyNumberFormat="1" applyFont="1" applyFill="1" applyBorder="1" applyAlignment="1">
      <alignment horizontal="center" vertical="center" wrapText="1"/>
    </xf>
    <xf numFmtId="0" fontId="106" fillId="0" borderId="15" xfId="1398" applyNumberFormat="1" applyFont="1" applyFill="1" applyBorder="1" applyAlignment="1">
      <alignment horizontal="center" vertical="center" wrapText="1"/>
    </xf>
    <xf numFmtId="0" fontId="106" fillId="0" borderId="12" xfId="1398" applyNumberFormat="1" applyFont="1" applyFill="1" applyBorder="1" applyAlignment="1">
      <alignment horizontal="center" vertical="center" wrapText="1"/>
    </xf>
    <xf numFmtId="0" fontId="106" fillId="0" borderId="87" xfId="1398" applyNumberFormat="1" applyFont="1" applyFill="1" applyBorder="1" applyAlignment="1">
      <alignment horizontal="center" vertical="center"/>
    </xf>
    <xf numFmtId="0" fontId="106" fillId="0" borderId="6" xfId="1398" applyNumberFormat="1" applyFont="1" applyFill="1" applyBorder="1" applyAlignment="1">
      <alignment horizontal="center" vertical="center"/>
    </xf>
    <xf numFmtId="0" fontId="106" fillId="0" borderId="83" xfId="1394" applyNumberFormat="1" applyFont="1" applyFill="1" applyBorder="1" applyAlignment="1">
      <alignment horizontal="center" vertical="center"/>
    </xf>
    <xf numFmtId="0" fontId="106" fillId="0" borderId="84" xfId="1394" applyNumberFormat="1" applyFont="1" applyFill="1" applyBorder="1" applyAlignment="1">
      <alignment horizontal="center" vertical="center"/>
    </xf>
    <xf numFmtId="0" fontId="107" fillId="0" borderId="0" xfId="1394" applyNumberFormat="1" applyFont="1" applyFill="1" applyAlignment="1">
      <alignment horizontal="center" vertical="top"/>
    </xf>
    <xf numFmtId="15" fontId="107" fillId="0" borderId="0" xfId="1398" quotePrefix="1" applyNumberFormat="1" applyFont="1" applyFill="1" applyAlignment="1">
      <alignment horizontal="center" vertical="top"/>
    </xf>
    <xf numFmtId="0" fontId="107" fillId="0" borderId="0" xfId="1398" quotePrefix="1" applyNumberFormat="1" applyFont="1" applyFill="1" applyAlignment="1">
      <alignment horizontal="center" vertical="top"/>
    </xf>
    <xf numFmtId="0" fontId="106" fillId="0" borderId="87" xfId="1398" applyNumberFormat="1" applyFont="1" applyFill="1" applyBorder="1" applyAlignment="1">
      <alignment horizontal="center" vertical="center" wrapText="1"/>
    </xf>
    <xf numFmtId="0" fontId="106" fillId="0" borderId="6" xfId="1398" applyNumberFormat="1" applyFont="1" applyFill="1" applyBorder="1" applyAlignment="1">
      <alignment horizontal="center" vertical="center" wrapText="1"/>
    </xf>
    <xf numFmtId="166" fontId="130" fillId="0" borderId="16" xfId="1505" applyNumberFormat="1" applyFont="1" applyFill="1" applyBorder="1" applyAlignment="1">
      <alignment horizontal="center" vertical="center" wrapText="1" shrinkToFit="1"/>
    </xf>
    <xf numFmtId="166" fontId="107" fillId="0" borderId="0" xfId="1394" applyNumberFormat="1" applyFont="1" applyFill="1" applyAlignment="1">
      <alignment horizontal="center" vertical="top"/>
    </xf>
    <xf numFmtId="0" fontId="130" fillId="0" borderId="81" xfId="1529" applyNumberFormat="1" applyFont="1" applyFill="1" applyBorder="1" applyAlignment="1">
      <alignment horizontal="center" vertical="center" wrapText="1"/>
    </xf>
    <xf numFmtId="0" fontId="130" fillId="0" borderId="14" xfId="1529" applyNumberFormat="1" applyFont="1" applyFill="1" applyBorder="1" applyAlignment="1">
      <alignment horizontal="center" vertical="center" wrapText="1"/>
    </xf>
    <xf numFmtId="0" fontId="130" fillId="0" borderId="15" xfId="1529" applyNumberFormat="1" applyFont="1" applyFill="1" applyBorder="1" applyAlignment="1">
      <alignment horizontal="center" vertical="center" wrapText="1"/>
    </xf>
    <xf numFmtId="0" fontId="130" fillId="0" borderId="87" xfId="1529" applyNumberFormat="1" applyFont="1" applyFill="1" applyBorder="1" applyAlignment="1">
      <alignment horizontal="center" vertical="center" wrapText="1"/>
    </xf>
    <xf numFmtId="0" fontId="130" fillId="0" borderId="5" xfId="1529" applyNumberFormat="1" applyFont="1" applyFill="1" applyBorder="1" applyAlignment="1">
      <alignment horizontal="center" vertical="center" wrapText="1"/>
    </xf>
    <xf numFmtId="0" fontId="130" fillId="0" borderId="6" xfId="1529" applyNumberFormat="1" applyFont="1" applyFill="1" applyBorder="1" applyAlignment="1">
      <alignment horizontal="center" vertical="center" wrapText="1"/>
    </xf>
    <xf numFmtId="166" fontId="130" fillId="0" borderId="83" xfId="1529" quotePrefix="1" applyNumberFormat="1" applyFont="1" applyFill="1" applyBorder="1" applyAlignment="1" applyProtection="1">
      <alignment horizontal="center"/>
    </xf>
    <xf numFmtId="166" fontId="130" fillId="0" borderId="85" xfId="1529" quotePrefix="1" applyNumberFormat="1" applyFont="1" applyFill="1" applyBorder="1" applyAlignment="1" applyProtection="1">
      <alignment horizontal="center"/>
    </xf>
    <xf numFmtId="166" fontId="130" fillId="0" borderId="84" xfId="1529" quotePrefix="1" applyNumberFormat="1" applyFont="1" applyFill="1" applyBorder="1" applyAlignment="1" applyProtection="1">
      <alignment horizontal="center"/>
    </xf>
    <xf numFmtId="0" fontId="130" fillId="0" borderId="15" xfId="21" quotePrefix="1" applyFont="1" applyFill="1" applyBorder="1" applyAlignment="1">
      <alignment horizontal="center"/>
    </xf>
    <xf numFmtId="0" fontId="130" fillId="0" borderId="84" xfId="21" quotePrefix="1" applyFont="1" applyFill="1" applyBorder="1" applyAlignment="1">
      <alignment horizontal="center"/>
    </xf>
    <xf numFmtId="166" fontId="133" fillId="0" borderId="0" xfId="46" applyNumberFormat="1" applyFont="1" applyFill="1" applyBorder="1" applyAlignment="1">
      <alignment horizontal="center" vertical="top"/>
    </xf>
    <xf numFmtId="166" fontId="106" fillId="0" borderId="0" xfId="1394" applyNumberFormat="1" applyFont="1" applyFill="1" applyBorder="1" applyAlignment="1">
      <alignment horizontal="center" vertical="center"/>
    </xf>
    <xf numFmtId="166" fontId="106" fillId="0" borderId="0" xfId="1394" applyNumberFormat="1" applyFont="1" applyFill="1" applyBorder="1" applyAlignment="1">
      <alignment vertical="center"/>
    </xf>
    <xf numFmtId="0" fontId="130" fillId="0" borderId="84" xfId="1505" applyNumberFormat="1" applyFont="1" applyFill="1" applyBorder="1" applyAlignment="1">
      <alignment horizontal="center" vertical="center" wrapText="1" shrinkToFit="1"/>
    </xf>
    <xf numFmtId="0" fontId="130" fillId="0" borderId="87" xfId="50" applyFont="1" applyFill="1" applyBorder="1" applyAlignment="1">
      <alignment horizontal="center" vertical="center"/>
    </xf>
    <xf numFmtId="0" fontId="130" fillId="0" borderId="5" xfId="50" applyFont="1" applyFill="1" applyBorder="1" applyAlignment="1">
      <alignment horizontal="center" vertical="center"/>
    </xf>
    <xf numFmtId="0" fontId="130" fillId="0" borderId="6" xfId="50" applyFont="1" applyFill="1" applyBorder="1" applyAlignment="1">
      <alignment horizontal="center" vertical="center"/>
    </xf>
    <xf numFmtId="0" fontId="130" fillId="0" borderId="87" xfId="1530" applyFont="1" applyFill="1" applyBorder="1" applyAlignment="1">
      <alignment horizontal="center" vertical="center"/>
    </xf>
    <xf numFmtId="0" fontId="130" fillId="0" borderId="5" xfId="1530" applyFont="1" applyFill="1" applyBorder="1" applyAlignment="1">
      <alignment horizontal="center" vertical="center"/>
    </xf>
    <xf numFmtId="0" fontId="130" fillId="0" borderId="6" xfId="1530" applyFont="1" applyFill="1" applyBorder="1" applyAlignment="1">
      <alignment horizontal="center" vertical="center"/>
    </xf>
    <xf numFmtId="43" fontId="107" fillId="0" borderId="0" xfId="4" applyNumberFormat="1" applyFont="1" applyProtection="1">
      <alignment vertical="top"/>
      <protection locked="0"/>
    </xf>
    <xf numFmtId="0" fontId="106" fillId="0" borderId="0" xfId="4" quotePrefix="1" applyFont="1" applyFill="1" applyAlignment="1">
      <alignment horizontal="center" vertical="center"/>
    </xf>
    <xf numFmtId="0" fontId="109" fillId="4" borderId="0" xfId="50" quotePrefix="1" applyFont="1" applyFill="1" applyAlignment="1">
      <alignment horizontal="justify" vertical="top"/>
    </xf>
    <xf numFmtId="0" fontId="109" fillId="0" borderId="0" xfId="50" quotePrefix="1" applyFont="1" applyAlignment="1">
      <alignment horizontal="justify" vertical="top"/>
    </xf>
    <xf numFmtId="2" fontId="107" fillId="0" borderId="0" xfId="4" applyNumberFormat="1" applyFont="1" applyProtection="1">
      <alignment vertical="top"/>
      <protection locked="0"/>
    </xf>
    <xf numFmtId="0" fontId="107" fillId="3" borderId="0" xfId="1455" applyFont="1" applyFill="1" applyAlignment="1">
      <alignment horizontal="justify" vertical="top" wrapText="1"/>
    </xf>
    <xf numFmtId="0" fontId="110" fillId="3" borderId="0" xfId="1455" quotePrefix="1" applyFont="1" applyFill="1" applyAlignment="1">
      <alignment horizontal="justify" vertical="top" wrapText="1"/>
    </xf>
    <xf numFmtId="0" fontId="111" fillId="0" borderId="0" xfId="13" applyFont="1" applyFill="1" applyAlignment="1">
      <alignment horizontal="left" vertical="center" wrapText="1"/>
    </xf>
    <xf numFmtId="0" fontId="107" fillId="3" borderId="0" xfId="1455" applyFont="1" applyFill="1" applyAlignment="1">
      <alignment horizontal="left" vertical="top" wrapText="1"/>
    </xf>
    <xf numFmtId="0" fontId="126" fillId="0" borderId="16" xfId="1457" applyNumberFormat="1" applyFont="1" applyFill="1" applyBorder="1" applyAlignment="1">
      <alignment horizontal="center" vertical="center" wrapText="1"/>
    </xf>
    <xf numFmtId="10" fontId="106" fillId="0" borderId="0" xfId="2" applyNumberFormat="1" applyFont="1" applyFill="1" applyAlignment="1">
      <alignment horizontal="center" vertical="top"/>
    </xf>
    <xf numFmtId="0" fontId="107" fillId="0" borderId="0" xfId="2" applyFont="1" applyFill="1" applyAlignment="1">
      <alignment horizontal="justify" wrapText="1"/>
    </xf>
    <xf numFmtId="0" fontId="126" fillId="0" borderId="0" xfId="1457" quotePrefix="1" applyFont="1" applyFill="1" applyAlignment="1">
      <alignment horizontal="center"/>
    </xf>
    <xf numFmtId="0" fontId="127" fillId="0" borderId="0" xfId="50" quotePrefix="1" applyFont="1" applyFill="1" applyAlignment="1">
      <alignment horizontal="center"/>
    </xf>
    <xf numFmtId="0" fontId="126" fillId="0" borderId="83" xfId="1457" applyFont="1" applyFill="1" applyBorder="1" applyAlignment="1">
      <alignment horizontal="center" vertical="center"/>
    </xf>
    <xf numFmtId="0" fontId="126" fillId="0" borderId="85" xfId="1457" applyFont="1" applyFill="1" applyBorder="1" applyAlignment="1">
      <alignment horizontal="center" vertical="center"/>
    </xf>
    <xf numFmtId="0" fontId="126" fillId="0" borderId="84" xfId="1457" applyFont="1" applyFill="1" applyBorder="1" applyAlignment="1">
      <alignment horizontal="center" vertical="center"/>
    </xf>
    <xf numFmtId="0" fontId="126" fillId="0" borderId="87" xfId="1457" applyNumberFormat="1" applyFont="1" applyFill="1" applyBorder="1" applyAlignment="1">
      <alignment horizontal="center" vertical="center" wrapText="1"/>
    </xf>
    <xf numFmtId="0" fontId="126" fillId="0" borderId="5" xfId="1457" applyNumberFormat="1" applyFont="1" applyFill="1" applyBorder="1" applyAlignment="1">
      <alignment horizontal="center" vertical="center" wrapText="1"/>
    </xf>
    <xf numFmtId="0" fontId="126" fillId="0" borderId="6" xfId="1457" applyNumberFormat="1" applyFont="1" applyFill="1" applyBorder="1" applyAlignment="1">
      <alignment horizontal="center" vertical="center" wrapText="1"/>
    </xf>
    <xf numFmtId="0" fontId="107" fillId="0" borderId="0" xfId="41" applyNumberFormat="1" applyFont="1" applyFill="1" applyAlignment="1">
      <alignment horizontal="justify" vertical="top" wrapText="1"/>
    </xf>
    <xf numFmtId="0" fontId="107" fillId="0" borderId="0" xfId="1436" applyFont="1" applyAlignment="1">
      <alignment horizontal="justify" vertical="top" wrapText="1"/>
    </xf>
    <xf numFmtId="0" fontId="107" fillId="0" borderId="0" xfId="42" applyFont="1" applyFill="1" applyAlignment="1">
      <alignment horizontal="justify" vertical="top" wrapText="1"/>
    </xf>
    <xf numFmtId="0" fontId="110" fillId="0" borderId="0" xfId="0" applyFont="1" applyAlignment="1">
      <alignment horizontal="justify" vertical="top" wrapText="1"/>
    </xf>
    <xf numFmtId="0" fontId="107" fillId="0" borderId="0" xfId="155" applyFont="1" applyFill="1" applyAlignment="1">
      <alignment horizontal="justify" vertical="top" wrapText="1"/>
    </xf>
    <xf numFmtId="0" fontId="111" fillId="0" borderId="0" xfId="0" quotePrefix="1" applyFont="1" applyFill="1" applyAlignment="1">
      <alignment horizontal="center"/>
    </xf>
    <xf numFmtId="0" fontId="111" fillId="0" borderId="0" xfId="0" applyFont="1" applyFill="1"/>
    <xf numFmtId="0" fontId="107" fillId="0" borderId="0" xfId="155" applyFont="1" applyFill="1" applyAlignment="1">
      <alignment horizontal="left" vertical="top" wrapText="1"/>
    </xf>
    <xf numFmtId="0" fontId="106" fillId="0" borderId="0" xfId="8" quotePrefix="1" applyFont="1" applyFill="1" applyBorder="1" applyAlignment="1">
      <alignment horizontal="center" vertical="top"/>
    </xf>
    <xf numFmtId="0" fontId="109" fillId="0" borderId="0" xfId="0" applyNumberFormat="1" applyFont="1" applyFill="1" applyAlignment="1" applyProtection="1">
      <alignment horizontal="justify" vertical="top" wrapText="1"/>
      <protection locked="0"/>
    </xf>
    <xf numFmtId="0" fontId="106" fillId="0" borderId="0" xfId="0" applyFont="1" applyFill="1" applyAlignment="1">
      <alignment horizontal="left" vertical="top"/>
    </xf>
    <xf numFmtId="0" fontId="110" fillId="0" borderId="0" xfId="45" applyFont="1" applyFill="1" applyAlignment="1">
      <alignment vertical="top" wrapText="1"/>
    </xf>
    <xf numFmtId="0" fontId="0" fillId="4" borderId="0" xfId="0" applyFill="1" applyAlignment="1">
      <alignment horizontal="center"/>
    </xf>
    <xf numFmtId="0" fontId="1" fillId="4" borderId="0" xfId="0" applyFont="1" applyFill="1" applyAlignment="1">
      <alignment horizontal="center"/>
    </xf>
    <xf numFmtId="0" fontId="0" fillId="4" borderId="0" xfId="0" quotePrefix="1" applyFill="1" applyAlignment="1">
      <alignment horizontal="center"/>
    </xf>
    <xf numFmtId="166" fontId="0" fillId="4" borderId="0" xfId="46" applyNumberFormat="1" applyFont="1" applyFill="1" applyAlignment="1">
      <alignment horizontal="center"/>
    </xf>
    <xf numFmtId="0" fontId="107" fillId="0" borderId="0" xfId="36" applyFont="1" applyFill="1" applyAlignment="1">
      <alignment horizontal="left" vertical="top" wrapText="1"/>
    </xf>
    <xf numFmtId="0" fontId="110" fillId="0" borderId="0" xfId="44" applyFont="1" applyFill="1" applyAlignment="1">
      <alignment horizontal="left" vertical="top"/>
    </xf>
  </cellXfs>
  <cellStyles count="1531">
    <cellStyle name=" 1" xfId="52"/>
    <cellStyle name=" 1 2" xfId="1466"/>
    <cellStyle name=" Writer Import]_x000d__x000a_Display Dialog=No_x000d__x000a__x000d__x000a_[Horizontal Arrange]_x000d__x000a_Dimensions Interlocking=Yes_x000d__x000a_Sum Hierarchy=Yes_x000d__x000a_Generate" xfId="616"/>
    <cellStyle name="_accounts disclosure" xfId="617"/>
    <cellStyle name="_accounts disclosure_31 Dec Accounts 2009-NIUT" xfId="618"/>
    <cellStyle name="_accounts disclosure_31 Dec Accounts 2009-NIUT after element" xfId="619"/>
    <cellStyle name="_accounts disclosure_31 Dec Accounts 2009-NIUT b" xfId="620"/>
    <cellStyle name="_accounts disclosure_After annexure changes NB final" xfId="621"/>
    <cellStyle name="_accounts disclosure_Final disclosure final" xfId="622"/>
    <cellStyle name="_CPF - Draft Accounts after KJ review" xfId="623"/>
    <cellStyle name="_CPF - Draft Accounts after KJ review 2" xfId="867"/>
    <cellStyle name="_Extra disclosure - final" xfId="53"/>
    <cellStyle name="_Extra disclosure - final 2" xfId="54"/>
    <cellStyle name="_Extra disclosure - final_~4456819" xfId="55"/>
    <cellStyle name="_Extra disclosure - final_~4456819_Copy of DCF Accounts V19 after client changes" xfId="56"/>
    <cellStyle name="_Extra disclosure - final_~4456819_Element dec 2010'asf" xfId="57"/>
    <cellStyle name="_Extra disclosure - final_Accounts DCF Dec 31,2008 Auditors - Changes" xfId="58"/>
    <cellStyle name="_Extra disclosure - final_Accounts DCF Dec 31,2008 Auditors - Changes_Copy of DCF Accounts V19 after client changes" xfId="59"/>
    <cellStyle name="_Extra disclosure - final_Accounts DCF Dec 31,2008 Auditors - Changes_Element dec 2010'asf" xfId="60"/>
    <cellStyle name="_Extra disclosure - final_Copy of DCF Accounts V19 after client changes" xfId="61"/>
    <cellStyle name="_Extra disclosure - final_DCF Accounts V22" xfId="62"/>
    <cellStyle name="_Extra disclosure - final_DCF Accounts V22 (4)" xfId="63"/>
    <cellStyle name="_Extra disclosure - final_SMF_Accounts_after_KB_changes" xfId="64"/>
    <cellStyle name="_FINALIFRS-LOC Accounts -(30June09)" xfId="624"/>
    <cellStyle name="_FINALIFRS-LOC Accounts -(30June09)_Sheet2" xfId="625"/>
    <cellStyle name="_FINALIFRS-LOC Accounts -(30June09)_Xl0000000" xfId="626"/>
    <cellStyle name="_FINALIFRS-LOC Accounts -(30June09)_Xl0000000_31 Dec Accounts 2009-NIUT" xfId="627"/>
    <cellStyle name="_FINALIFRS-LOC Accounts -(30June09)_Xl0000000_31 Dec Accounts 2009-NIUT after element" xfId="628"/>
    <cellStyle name="_FINALIFRS-LOC Accounts -(30June09)_Xl0000000_31 Dec Accounts 2009-NIUT b" xfId="629"/>
    <cellStyle name="_FINALIFRS-LOC Accounts -(30June09)_Xl0000000_After annexure changes NB final" xfId="630"/>
    <cellStyle name="_FINALIFRS-LOC Accounts -(30June09)_Xl0000000_Final disclosure final" xfId="631"/>
    <cellStyle name="_SAP Break ups for Dec 2008" xfId="632"/>
    <cellStyle name="_Technology MI September v2NB" xfId="633"/>
    <cellStyle name="_Technology MI September v2NB_disclosure investment emof" xfId="634"/>
    <cellStyle name="_Technology MI September v2NB_Final_Accounts_2009" xfId="635"/>
    <cellStyle name="_Technology MI September v2NB_Final_Accounts_2009_Accounts June 30, 2012 IF - 2nd Draft" xfId="636"/>
    <cellStyle name="_Technology MI September v2NB_Income-Statement" xfId="637"/>
    <cellStyle name="_Technology MI September v2NB_Income-Statement_Accounts June 30, 2012 IF - 2nd Draft" xfId="638"/>
    <cellStyle name="_Technology MI September v2NB_Movement in UHF" xfId="639"/>
    <cellStyle name="_Technology MI September v2NB_Movement in UHF_Accounts June 30, 2012 IF - 2nd Draft" xfId="640"/>
    <cellStyle name="_Technology MI September v2NB_Note 11-20" xfId="641"/>
    <cellStyle name="_Technology MI September v2NB_Note 11-20_Accounts June 30, 2012 IF - 2nd Draft" xfId="642"/>
    <cellStyle name="_Technology MI September v2NB_Sales &amp; Redemption summary" xfId="643"/>
    <cellStyle name="_Technology MI September v2NB_Statement" xfId="644"/>
    <cellStyle name="_Technology MI September v2NB_Statement_Accounts June 30, 2012 IF - 2nd Draft" xfId="645"/>
    <cellStyle name="£ BP" xfId="68"/>
    <cellStyle name="¥ JY" xfId="69"/>
    <cellStyle name="=C:\WINNT\SYSTEM32\COMMAND.COM" xfId="3"/>
    <cellStyle name="=C:\WINNT\SYSTEM32\COMMAND.COM 10" xfId="1464"/>
    <cellStyle name="=C:\WINNT\SYSTEM32\COMMAND.COM 2" xfId="7"/>
    <cellStyle name="=C:\WINNT\SYSTEM32\COMMAND.COM 2 2" xfId="8"/>
    <cellStyle name="=C:\WINNT\SYSTEM32\COMMAND.COM 2 2 2" xfId="65"/>
    <cellStyle name="=C:\WINNT\SYSTEM32\COMMAND.COM 2 2 2 2" xfId="49"/>
    <cellStyle name="=C:\WINNT\SYSTEM32\COMMAND.COM 2 2 2 2 2" xfId="1457"/>
    <cellStyle name="=C:\WINNT\SYSTEM32\COMMAND.COM 2 2 25" xfId="1497"/>
    <cellStyle name="=C:\WINNT\SYSTEM32\COMMAND.COM 2 2 3" xfId="1465"/>
    <cellStyle name="=C:\WINNT\SYSTEM32\COMMAND.COM 2 27" xfId="1498"/>
    <cellStyle name="=C:\WINNT\SYSTEM32\COMMAND.COM 2 3" xfId="237"/>
    <cellStyle name="=C:\WINNT\SYSTEM32\COMMAND.COM 3" xfId="9"/>
    <cellStyle name="=C:\WINNT\SYSTEM32\COMMAND.COM 3 2" xfId="1468"/>
    <cellStyle name="=C:\WINNT\SYSTEM32\COMMAND.COM 3 3" xfId="14"/>
    <cellStyle name="=C:\WINNT\SYSTEM32\COMMAND.COM 3 5" xfId="1469"/>
    <cellStyle name="=C:\WINNT\SYSTEM32\COMMAND.COM 4" xfId="66"/>
    <cellStyle name="=C:\WINNT\SYSTEM32\COMMAND.COM 4 2" xfId="67"/>
    <cellStyle name="=C:\WINNT\SYSTEM32\COMMAND.COM 4 3" xfId="646"/>
    <cellStyle name="=C:\WINNT\SYSTEM32\COMMAND.COM 5" xfId="1462"/>
    <cellStyle name="=C:\WINNT\SYSTEM32\COMMAND.COM_6. ASMF Accounts - December 12" xfId="868"/>
    <cellStyle name="10" xfId="869"/>
    <cellStyle name="20% - Accent1 2" xfId="239"/>
    <cellStyle name="20% - Accent1 3" xfId="648"/>
    <cellStyle name="20% - Accent1 4" xfId="649"/>
    <cellStyle name="20% - Accent1 5" xfId="647"/>
    <cellStyle name="20% - Accent1 6" xfId="238"/>
    <cellStyle name="20% - Accent2 2" xfId="241"/>
    <cellStyle name="20% - Accent2 3" xfId="651"/>
    <cellStyle name="20% - Accent2 4" xfId="652"/>
    <cellStyle name="20% - Accent2 5" xfId="650"/>
    <cellStyle name="20% - Accent2 6" xfId="240"/>
    <cellStyle name="20% - Accent3 2" xfId="243"/>
    <cellStyle name="20% - Accent3 3" xfId="654"/>
    <cellStyle name="20% - Accent3 4" xfId="655"/>
    <cellStyle name="20% - Accent3 5" xfId="653"/>
    <cellStyle name="20% - Accent3 6" xfId="242"/>
    <cellStyle name="20% - Accent4 2" xfId="245"/>
    <cellStyle name="20% - Accent4 3" xfId="657"/>
    <cellStyle name="20% - Accent4 4" xfId="658"/>
    <cellStyle name="20% - Accent4 5" xfId="656"/>
    <cellStyle name="20% - Accent4 6" xfId="244"/>
    <cellStyle name="20% - Accent5 2" xfId="247"/>
    <cellStyle name="20% - Accent5 3" xfId="659"/>
    <cellStyle name="20% - Accent5 4" xfId="660"/>
    <cellStyle name="20% - Accent5 5" xfId="246"/>
    <cellStyle name="20% - Accent6 2" xfId="249"/>
    <cellStyle name="20% - Accent6 3" xfId="662"/>
    <cellStyle name="20% - Accent6 4" xfId="663"/>
    <cellStyle name="20% - Accent6 5" xfId="661"/>
    <cellStyle name="20% - Accent6 6" xfId="248"/>
    <cellStyle name="40% - Accent1 2" xfId="251"/>
    <cellStyle name="40% - Accent1 3" xfId="665"/>
    <cellStyle name="40% - Accent1 4" xfId="666"/>
    <cellStyle name="40% - Accent1 5" xfId="664"/>
    <cellStyle name="40% - Accent1 6" xfId="250"/>
    <cellStyle name="40% - Accent2 2" xfId="253"/>
    <cellStyle name="40% - Accent2 3" xfId="667"/>
    <cellStyle name="40% - Accent2 4" xfId="668"/>
    <cellStyle name="40% - Accent2 5" xfId="252"/>
    <cellStyle name="40% - Accent3 2" xfId="255"/>
    <cellStyle name="40% - Accent3 3" xfId="670"/>
    <cellStyle name="40% - Accent3 4" xfId="671"/>
    <cellStyle name="40% - Accent3 5" xfId="669"/>
    <cellStyle name="40% - Accent3 6" xfId="254"/>
    <cellStyle name="40% - Accent4 2" xfId="257"/>
    <cellStyle name="40% - Accent4 3" xfId="673"/>
    <cellStyle name="40% - Accent4 4" xfId="674"/>
    <cellStyle name="40% - Accent4 5" xfId="672"/>
    <cellStyle name="40% - Accent4 6" xfId="256"/>
    <cellStyle name="40% - Accent5 2" xfId="259"/>
    <cellStyle name="40% - Accent5 3" xfId="675"/>
    <cellStyle name="40% - Accent5 4" xfId="676"/>
    <cellStyle name="40% - Accent5 5" xfId="258"/>
    <cellStyle name="40% - Accent6 2" xfId="261"/>
    <cellStyle name="40% - Accent6 3" xfId="678"/>
    <cellStyle name="40% - Accent6 4" xfId="679"/>
    <cellStyle name="40% - Accent6 5" xfId="677"/>
    <cellStyle name="40% - Accent6 6" xfId="260"/>
    <cellStyle name="60% - Accent1 2" xfId="263"/>
    <cellStyle name="60% - Accent1 3" xfId="681"/>
    <cellStyle name="60% - Accent1 4" xfId="682"/>
    <cellStyle name="60% - Accent1 5" xfId="680"/>
    <cellStyle name="60% - Accent1 6" xfId="262"/>
    <cellStyle name="60% - Accent2 2" xfId="265"/>
    <cellStyle name="60% - Accent2 3" xfId="683"/>
    <cellStyle name="60% - Accent2 4" xfId="684"/>
    <cellStyle name="60% - Accent2 5" xfId="264"/>
    <cellStyle name="60% - Accent3 2" xfId="267"/>
    <cellStyle name="60% - Accent3 3" xfId="686"/>
    <cellStyle name="60% - Accent3 4" xfId="687"/>
    <cellStyle name="60% - Accent3 5" xfId="685"/>
    <cellStyle name="60% - Accent3 6" xfId="266"/>
    <cellStyle name="60% - Accent4 2" xfId="269"/>
    <cellStyle name="60% - Accent4 3" xfId="689"/>
    <cellStyle name="60% - Accent4 4" xfId="690"/>
    <cellStyle name="60% - Accent4 5" xfId="688"/>
    <cellStyle name="60% - Accent4 6" xfId="268"/>
    <cellStyle name="60% - Accent5 2" xfId="271"/>
    <cellStyle name="60% - Accent5 3" xfId="691"/>
    <cellStyle name="60% - Accent5 4" xfId="692"/>
    <cellStyle name="60% - Accent5 5" xfId="270"/>
    <cellStyle name="60% - Accent6 2" xfId="273"/>
    <cellStyle name="60% - Accent6 3" xfId="694"/>
    <cellStyle name="60% - Accent6 4" xfId="695"/>
    <cellStyle name="60% - Accent6 5" xfId="693"/>
    <cellStyle name="60% - Accent6 6" xfId="272"/>
    <cellStyle name="9999/99/99" xfId="696"/>
    <cellStyle name="9999/99/99 2" xfId="1373"/>
    <cellStyle name="Accent1 2" xfId="275"/>
    <cellStyle name="Accent1 3" xfId="698"/>
    <cellStyle name="Accent1 4" xfId="699"/>
    <cellStyle name="Accent1 5" xfId="697"/>
    <cellStyle name="Accent1 6" xfId="274"/>
    <cellStyle name="Accent2 2" xfId="277"/>
    <cellStyle name="Accent2 3" xfId="700"/>
    <cellStyle name="Accent2 4" xfId="701"/>
    <cellStyle name="Accent2 5" xfId="276"/>
    <cellStyle name="Accent3 2" xfId="279"/>
    <cellStyle name="Accent3 3" xfId="702"/>
    <cellStyle name="Accent3 4" xfId="703"/>
    <cellStyle name="Accent3 5" xfId="278"/>
    <cellStyle name="Accent4 2" xfId="281"/>
    <cellStyle name="Accent4 3" xfId="705"/>
    <cellStyle name="Accent4 4" xfId="706"/>
    <cellStyle name="Accent4 5" xfId="704"/>
    <cellStyle name="Accent4 6" xfId="280"/>
    <cellStyle name="Accent5 2" xfId="283"/>
    <cellStyle name="Accent5 3" xfId="707"/>
    <cellStyle name="Accent5 4" xfId="708"/>
    <cellStyle name="Accent5 5" xfId="282"/>
    <cellStyle name="Accent6 2" xfId="285"/>
    <cellStyle name="Accent6 3" xfId="709"/>
    <cellStyle name="Accent6 4" xfId="710"/>
    <cellStyle name="Accent6 5" xfId="284"/>
    <cellStyle name="Auto_OpenAuto_CloseExtractD" xfId="711"/>
    <cellStyle name="Bad 2" xfId="287"/>
    <cellStyle name="Bad 3" xfId="712"/>
    <cellStyle name="Bad 4" xfId="713"/>
    <cellStyle name="Bad 5" xfId="286"/>
    <cellStyle name="Body" xfId="714"/>
    <cellStyle name="Body 2" xfId="870"/>
    <cellStyle name="Bold/Border" xfId="70"/>
    <cellStyle name="border" xfId="288"/>
    <cellStyle name="Brand Align Left Text" xfId="716"/>
    <cellStyle name="Brand Default" xfId="717"/>
    <cellStyle name="Brand Percent" xfId="718"/>
    <cellStyle name="Brand Source" xfId="719"/>
    <cellStyle name="Brand Subtitle with Underline" xfId="720"/>
    <cellStyle name="Brand Subtitle without Underline" xfId="721"/>
    <cellStyle name="Brand Title" xfId="722"/>
    <cellStyle name="Bullet" xfId="71"/>
    <cellStyle name="Calc Currency (0)" xfId="72"/>
    <cellStyle name="Calc Currency (0) 2" xfId="290"/>
    <cellStyle name="Calc Currency (0) 2 2" xfId="871"/>
    <cellStyle name="Calc Currency (2)" xfId="291"/>
    <cellStyle name="Calc Percent (0)" xfId="73"/>
    <cellStyle name="Calc Percent (0) 2" xfId="872"/>
    <cellStyle name="Calc Percent (0) 3" xfId="292"/>
    <cellStyle name="Calc Percent (1)" xfId="74"/>
    <cellStyle name="Calc Percent (1) 2" xfId="873"/>
    <cellStyle name="Calc Percent (1) 3" xfId="293"/>
    <cellStyle name="Calc Percent (2)" xfId="294"/>
    <cellStyle name="Calc Units (0)" xfId="295"/>
    <cellStyle name="Calc Units (1)" xfId="296"/>
    <cellStyle name="Calc Units (2)" xfId="297"/>
    <cellStyle name="Calculation 2" xfId="299"/>
    <cellStyle name="Calculation 2 2" xfId="723"/>
    <cellStyle name="Calculation 2 3" xfId="1318"/>
    <cellStyle name="Calculation 2 4" xfId="1382"/>
    <cellStyle name="Calculation 3" xfId="300"/>
    <cellStyle name="Calculation 3 2" xfId="715"/>
    <cellStyle name="Calculation 3 3" xfId="1317"/>
    <cellStyle name="Calculation 3 4" xfId="1383"/>
    <cellStyle name="Calculation 4" xfId="725"/>
    <cellStyle name="Calculation 4 2" xfId="1332"/>
    <cellStyle name="Calculation 4 3" xfId="1338"/>
    <cellStyle name="Calculation 4 4" xfId="1336"/>
    <cellStyle name="Calculation 5" xfId="724"/>
    <cellStyle name="Calculation 5 2" xfId="1331"/>
    <cellStyle name="Calculation 5 3" xfId="1337"/>
    <cellStyle name="Calculation 5 4" xfId="1335"/>
    <cellStyle name="Calculation 6" xfId="298"/>
    <cellStyle name="Calculation 7" xfId="289"/>
    <cellStyle name="Calculation 8" xfId="1319"/>
    <cellStyle name="Calculation 9" xfId="1381"/>
    <cellStyle name="Check Cell 2" xfId="302"/>
    <cellStyle name="Check Cell 3" xfId="726"/>
    <cellStyle name="Check Cell 4" xfId="727"/>
    <cellStyle name="Check Cell 5" xfId="301"/>
    <cellStyle name="Comma" xfId="46" builtinId="3"/>
    <cellStyle name="Comma  - Style1" xfId="75"/>
    <cellStyle name="Comma  - Style1 2" xfId="305"/>
    <cellStyle name="Comma  - Style1 3" xfId="306"/>
    <cellStyle name="Comma  - Style1 4" xfId="729"/>
    <cellStyle name="Comma  - Style1 5" xfId="304"/>
    <cellStyle name="Comma  - Style2" xfId="76"/>
    <cellStyle name="Comma  - Style2 2" xfId="308"/>
    <cellStyle name="Comma  - Style2 3" xfId="309"/>
    <cellStyle name="Comma  - Style2 4" xfId="730"/>
    <cellStyle name="Comma  - Style2 5" xfId="307"/>
    <cellStyle name="Comma  - Style3" xfId="77"/>
    <cellStyle name="Comma  - Style3 2" xfId="311"/>
    <cellStyle name="Comma  - Style3 3" xfId="312"/>
    <cellStyle name="Comma  - Style3 4" xfId="731"/>
    <cellStyle name="Comma  - Style3 5" xfId="310"/>
    <cellStyle name="Comma  - Style4" xfId="78"/>
    <cellStyle name="Comma  - Style4 2" xfId="314"/>
    <cellStyle name="Comma  - Style4 3" xfId="315"/>
    <cellStyle name="Comma  - Style4 4" xfId="732"/>
    <cellStyle name="Comma  - Style4 5" xfId="313"/>
    <cellStyle name="Comma  - Style5" xfId="79"/>
    <cellStyle name="Comma  - Style5 2" xfId="317"/>
    <cellStyle name="Comma  - Style5 3" xfId="318"/>
    <cellStyle name="Comma  - Style5 4" xfId="733"/>
    <cellStyle name="Comma  - Style5 5" xfId="316"/>
    <cellStyle name="Comma  - Style6" xfId="80"/>
    <cellStyle name="Comma  - Style6 2" xfId="320"/>
    <cellStyle name="Comma  - Style6 3" xfId="321"/>
    <cellStyle name="Comma  - Style6 4" xfId="734"/>
    <cellStyle name="Comma  - Style6 5" xfId="319"/>
    <cellStyle name="Comma  - Style7" xfId="81"/>
    <cellStyle name="Comma  - Style7 2" xfId="323"/>
    <cellStyle name="Comma  - Style7 3" xfId="324"/>
    <cellStyle name="Comma  - Style7 4" xfId="735"/>
    <cellStyle name="Comma  - Style7 5" xfId="322"/>
    <cellStyle name="Comma  - Style8" xfId="82"/>
    <cellStyle name="Comma  - Style8 2" xfId="326"/>
    <cellStyle name="Comma  - Style8 3" xfId="327"/>
    <cellStyle name="Comma  - Style8 4" xfId="736"/>
    <cellStyle name="Comma  - Style8 5" xfId="325"/>
    <cellStyle name="Comma [00]" xfId="328"/>
    <cellStyle name="Comma [00] 2" xfId="329"/>
    <cellStyle name="Comma [00] 3" xfId="330"/>
    <cellStyle name="Comma 10" xfId="83"/>
    <cellStyle name="Comma 10 10" xfId="38"/>
    <cellStyle name="Comma 10 2" xfId="84"/>
    <cellStyle name="Comma 10 2 2" xfId="29"/>
    <cellStyle name="Comma 10 2 2 2" xfId="865"/>
    <cellStyle name="Comma 10 2 3" xfId="876"/>
    <cellStyle name="Comma 10 2 4" xfId="863"/>
    <cellStyle name="Comma 10 2 4 2" xfId="1431"/>
    <cellStyle name="Comma 10 2 5" xfId="331"/>
    <cellStyle name="Comma 10 3" xfId="875"/>
    <cellStyle name="Comma 10 3 2" xfId="1448"/>
    <cellStyle name="Comma 10 4" xfId="737"/>
    <cellStyle name="Comma 10 4 2" xfId="1402"/>
    <cellStyle name="Comma 10 4 2 2" xfId="1503"/>
    <cellStyle name="Comma 10 4 4" xfId="1479"/>
    <cellStyle name="Comma 11" xfId="10"/>
    <cellStyle name="Comma 11 10" xfId="25"/>
    <cellStyle name="Comma 11 2" xfId="332"/>
    <cellStyle name="Comma 11 2 2" xfId="1490"/>
    <cellStyle name="Comma 11 3" xfId="1483"/>
    <cellStyle name="Comma 11 3 2" xfId="1504"/>
    <cellStyle name="Comma 11 4" xfId="1471"/>
    <cellStyle name="Comma 11 4 2" xfId="1511"/>
    <cellStyle name="Comma 119 2" xfId="1412"/>
    <cellStyle name="Comma 12" xfId="85"/>
    <cellStyle name="Comma 12 2" xfId="877"/>
    <cellStyle name="Comma 12 3" xfId="738"/>
    <cellStyle name="Comma 12 4" xfId="333"/>
    <cellStyle name="Comma 12 5" xfId="1420"/>
    <cellStyle name="Comma 121" xfId="1411"/>
    <cellStyle name="Comma 122" xfId="1461"/>
    <cellStyle name="Comma 13" xfId="86"/>
    <cellStyle name="Comma 13 2" xfId="938"/>
    <cellStyle name="Comma 13 2 2" xfId="1463"/>
    <cellStyle name="Comma 13 2 3" xfId="1474"/>
    <cellStyle name="Comma 13 3" xfId="1246"/>
    <cellStyle name="Comma 13 4" xfId="739"/>
    <cellStyle name="Comma 13 5" xfId="334"/>
    <cellStyle name="Comma 14" xfId="87"/>
    <cellStyle name="Comma 14 2" xfId="1226"/>
    <cellStyle name="Comma 14 2 2" xfId="1404"/>
    <cellStyle name="Comma 14 2 2 2" xfId="1421"/>
    <cellStyle name="Comma 14 2 2 3" xfId="1501"/>
    <cellStyle name="Comma 14 2 3" xfId="1477"/>
    <cellStyle name="Comma 14 3" xfId="335"/>
    <cellStyle name="Comma 14 3 2" xfId="1452"/>
    <cellStyle name="Comma 14 4" xfId="1446"/>
    <cellStyle name="Comma 15" xfId="88"/>
    <cellStyle name="Comma 15 2" xfId="1252"/>
    <cellStyle name="Comma 15 3" xfId="740"/>
    <cellStyle name="Comma 15 4" xfId="336"/>
    <cellStyle name="Comma 16" xfId="89"/>
    <cellStyle name="Comma 16 2" xfId="861"/>
    <cellStyle name="Comma 16 3" xfId="337"/>
    <cellStyle name="Comma 17" xfId="90"/>
    <cellStyle name="Comma 17 2" xfId="1257"/>
    <cellStyle name="Comma 17 3" xfId="874"/>
    <cellStyle name="Comma 17 4" xfId="338"/>
    <cellStyle name="Comma 18" xfId="91"/>
    <cellStyle name="Comma 18 2" xfId="1243"/>
    <cellStyle name="Comma 18 3" xfId="339"/>
    <cellStyle name="Comma 19" xfId="92"/>
    <cellStyle name="Comma 19 2" xfId="340"/>
    <cellStyle name="Comma 2" xfId="1"/>
    <cellStyle name="Comma 2 10" xfId="23"/>
    <cellStyle name="Comma 2 10 2" xfId="939"/>
    <cellStyle name="Comma 2 10 3" xfId="1484"/>
    <cellStyle name="Comma 2 11" xfId="940"/>
    <cellStyle name="Comma 2 12" xfId="941"/>
    <cellStyle name="Comma 2 12 2" xfId="1450"/>
    <cellStyle name="Comma 2 13" xfId="942"/>
    <cellStyle name="Comma 2 14" xfId="943"/>
    <cellStyle name="Comma 2 15" xfId="944"/>
    <cellStyle name="Comma 2 16" xfId="945"/>
    <cellStyle name="Comma 2 17" xfId="946"/>
    <cellStyle name="Comma 2 18" xfId="947"/>
    <cellStyle name="Comma 2 19" xfId="948"/>
    <cellStyle name="Comma 2 2" xfId="22"/>
    <cellStyle name="Comma 2 2 10" xfId="949"/>
    <cellStyle name="Comma 2 2 11" xfId="950"/>
    <cellStyle name="Comma 2 2 12" xfId="951"/>
    <cellStyle name="Comma 2 2 13" xfId="952"/>
    <cellStyle name="Comma 2 2 14" xfId="953"/>
    <cellStyle name="Comma 2 2 15" xfId="954"/>
    <cellStyle name="Comma 2 2 16" xfId="955"/>
    <cellStyle name="Comma 2 2 17" xfId="956"/>
    <cellStyle name="Comma 2 2 18" xfId="957"/>
    <cellStyle name="Comma 2 2 19" xfId="958"/>
    <cellStyle name="Comma 2 2 2" xfId="93"/>
    <cellStyle name="Comma 2 2 2 10" xfId="959"/>
    <cellStyle name="Comma 2 2 2 11" xfId="960"/>
    <cellStyle name="Comma 2 2 2 12" xfId="961"/>
    <cellStyle name="Comma 2 2 2 13" xfId="962"/>
    <cellStyle name="Comma 2 2 2 14" xfId="963"/>
    <cellStyle name="Comma 2 2 2 15" xfId="964"/>
    <cellStyle name="Comma 2 2 2 16" xfId="965"/>
    <cellStyle name="Comma 2 2 2 17" xfId="966"/>
    <cellStyle name="Comma 2 2 2 18" xfId="967"/>
    <cellStyle name="Comma 2 2 2 19" xfId="968"/>
    <cellStyle name="Comma 2 2 2 2" xfId="94"/>
    <cellStyle name="Comma 2 2 2 2 2" xfId="1401"/>
    <cellStyle name="Comma 2 2 2 2 2 2" xfId="1478"/>
    <cellStyle name="Comma 2 2 2 2 3" xfId="1408"/>
    <cellStyle name="Comma 2 2 2 2 3 2" xfId="1505"/>
    <cellStyle name="Comma 2 2 2 20" xfId="969"/>
    <cellStyle name="Comma 2 2 2 21" xfId="970"/>
    <cellStyle name="Comma 2 2 2 22" xfId="971"/>
    <cellStyle name="Comma 2 2 2 23" xfId="972"/>
    <cellStyle name="Comma 2 2 2 24" xfId="973"/>
    <cellStyle name="Comma 2 2 2 25" xfId="974"/>
    <cellStyle name="Comma 2 2 2 26" xfId="975"/>
    <cellStyle name="Comma 2 2 2 27" xfId="976"/>
    <cellStyle name="Comma 2 2 2 28" xfId="977"/>
    <cellStyle name="Comma 2 2 2 29" xfId="978"/>
    <cellStyle name="Comma 2 2 2 3" xfId="40"/>
    <cellStyle name="Comma 2 2 2 3 2" xfId="979"/>
    <cellStyle name="Comma 2 2 2 3 2 2" xfId="1437"/>
    <cellStyle name="Comma 2 2 2 30" xfId="980"/>
    <cellStyle name="Comma 2 2 2 31" xfId="981"/>
    <cellStyle name="Comma 2 2 2 32" xfId="982"/>
    <cellStyle name="Comma 2 2 2 33" xfId="983"/>
    <cellStyle name="Comma 2 2 2 34" xfId="984"/>
    <cellStyle name="Comma 2 2 2 35" xfId="985"/>
    <cellStyle name="Comma 2 2 2 36" xfId="986"/>
    <cellStyle name="Comma 2 2 2 37" xfId="987"/>
    <cellStyle name="Comma 2 2 2 38" xfId="988"/>
    <cellStyle name="Comma 2 2 2 39" xfId="989"/>
    <cellStyle name="Comma 2 2 2 4" xfId="990"/>
    <cellStyle name="Comma 2 2 2 40" xfId="991"/>
    <cellStyle name="Comma 2 2 2 41" xfId="992"/>
    <cellStyle name="Comma 2 2 2 42" xfId="993"/>
    <cellStyle name="Comma 2 2 2 43" xfId="994"/>
    <cellStyle name="Comma 2 2 2 44" xfId="995"/>
    <cellStyle name="Comma 2 2 2 45" xfId="878"/>
    <cellStyle name="Comma 2 2 2 5" xfId="996"/>
    <cellStyle name="Comma 2 2 2 6" xfId="997"/>
    <cellStyle name="Comma 2 2 2 7" xfId="998"/>
    <cellStyle name="Comma 2 2 2 8" xfId="999"/>
    <cellStyle name="Comma 2 2 2 9" xfId="1000"/>
    <cellStyle name="Comma 2 2 20" xfId="1001"/>
    <cellStyle name="Comma 2 2 21" xfId="1002"/>
    <cellStyle name="Comma 2 2 22" xfId="1003"/>
    <cellStyle name="Comma 2 2 23" xfId="1004"/>
    <cellStyle name="Comma 2 2 24" xfId="1005"/>
    <cellStyle name="Comma 2 2 25" xfId="1006"/>
    <cellStyle name="Comma 2 2 26" xfId="1007"/>
    <cellStyle name="Comma 2 2 27" xfId="1008"/>
    <cellStyle name="Comma 2 2 28" xfId="1009"/>
    <cellStyle name="Comma 2 2 29" xfId="1010"/>
    <cellStyle name="Comma 2 2 3" xfId="95"/>
    <cellStyle name="Comma 2 2 3 2" xfId="742"/>
    <cellStyle name="Comma 2 2 3 3" xfId="1502"/>
    <cellStyle name="Comma 2 2 30" xfId="1011"/>
    <cellStyle name="Comma 2 2 31" xfId="1012"/>
    <cellStyle name="Comma 2 2 32" xfId="1013"/>
    <cellStyle name="Comma 2 2 33" xfId="1014"/>
    <cellStyle name="Comma 2 2 34" xfId="1015"/>
    <cellStyle name="Comma 2 2 35" xfId="1016"/>
    <cellStyle name="Comma 2 2 36" xfId="1017"/>
    <cellStyle name="Comma 2 2 37" xfId="1018"/>
    <cellStyle name="Comma 2 2 38" xfId="1019"/>
    <cellStyle name="Comma 2 2 39" xfId="1020"/>
    <cellStyle name="Comma 2 2 4" xfId="96"/>
    <cellStyle name="Comma 2 2 4 2" xfId="97"/>
    <cellStyle name="Comma 2 2 40" xfId="1021"/>
    <cellStyle name="Comma 2 2 41" xfId="1022"/>
    <cellStyle name="Comma 2 2 42" xfId="1023"/>
    <cellStyle name="Comma 2 2 43" xfId="1024"/>
    <cellStyle name="Comma 2 2 44" xfId="1025"/>
    <cellStyle name="Comma 2 2 45" xfId="741"/>
    <cellStyle name="Comma 2 2 46" xfId="341"/>
    <cellStyle name="Comma 2 2 5" xfId="1026"/>
    <cellStyle name="Comma 2 2 6" xfId="1027"/>
    <cellStyle name="Comma 2 2 7" xfId="1028"/>
    <cellStyle name="Comma 2 2 8" xfId="1029"/>
    <cellStyle name="Comma 2 2 9" xfId="1030"/>
    <cellStyle name="Comma 2 2_Accounts DSF Dec 31 2010" xfId="98"/>
    <cellStyle name="Comma 2 20" xfId="1031"/>
    <cellStyle name="Comma 2 21" xfId="1032"/>
    <cellStyle name="Comma 2 22" xfId="1033"/>
    <cellStyle name="Comma 2 23" xfId="1034"/>
    <cellStyle name="Comma 2 24" xfId="1035"/>
    <cellStyle name="Comma 2 25" xfId="1036"/>
    <cellStyle name="Comma 2 26" xfId="1037"/>
    <cellStyle name="Comma 2 27" xfId="1038"/>
    <cellStyle name="Comma 2 28" xfId="1039"/>
    <cellStyle name="Comma 2 29" xfId="1040"/>
    <cellStyle name="Comma 2 3" xfId="99"/>
    <cellStyle name="Comma 2 3 2" xfId="342"/>
    <cellStyle name="Comma 2 3 3" xfId="1445"/>
    <cellStyle name="Comma 2 3 4" xfId="1515"/>
    <cellStyle name="Comma 2 30" xfId="1041"/>
    <cellStyle name="Comma 2 31" xfId="1042"/>
    <cellStyle name="Comma 2 32" xfId="1043"/>
    <cellStyle name="Comma 2 33" xfId="1044"/>
    <cellStyle name="Comma 2 34" xfId="1045"/>
    <cellStyle name="Comma 2 35" xfId="1046"/>
    <cellStyle name="Comma 2 36" xfId="1047"/>
    <cellStyle name="Comma 2 37" xfId="1048"/>
    <cellStyle name="Comma 2 38" xfId="1049"/>
    <cellStyle name="Comma 2 39" xfId="1050"/>
    <cellStyle name="Comma 2 4" xfId="100"/>
    <cellStyle name="Comma 2 4 2" xfId="343"/>
    <cellStyle name="Comma 2 4 3" xfId="1447"/>
    <cellStyle name="Comma 2 40" xfId="1051"/>
    <cellStyle name="Comma 2 41" xfId="1052"/>
    <cellStyle name="Comma 2 42" xfId="1053"/>
    <cellStyle name="Comma 2 43" xfId="1054"/>
    <cellStyle name="Comma 2 44" xfId="1055"/>
    <cellStyle name="Comma 2 45" xfId="1056"/>
    <cellStyle name="Comma 2 46" xfId="1057"/>
    <cellStyle name="Comma 2 47" xfId="1058"/>
    <cellStyle name="Comma 2 48" xfId="1059"/>
    <cellStyle name="Comma 2 49" xfId="864"/>
    <cellStyle name="Comma 2 5" xfId="101"/>
    <cellStyle name="Comma 2 5 2" xfId="344"/>
    <cellStyle name="Comma 2 50" xfId="1394"/>
    <cellStyle name="Comma 2 51" xfId="1419"/>
    <cellStyle name="Comma 2 52" xfId="1459"/>
    <cellStyle name="Comma 2 6" xfId="102"/>
    <cellStyle name="Comma 2 6 2" xfId="879"/>
    <cellStyle name="Comma 2 6 3" xfId="1418"/>
    <cellStyle name="Comma 2 6 3 2" xfId="1486"/>
    <cellStyle name="Comma 2 7" xfId="103"/>
    <cellStyle name="Comma 2 7 2" xfId="862"/>
    <cellStyle name="Comma 2 8" xfId="345"/>
    <cellStyle name="Comma 2 8 2" xfId="1060"/>
    <cellStyle name="Comma 2 8 3" xfId="743"/>
    <cellStyle name="Comma 2 9" xfId="1061"/>
    <cellStyle name="Comma 2 9 2" xfId="1520"/>
    <cellStyle name="Comma 2_Accounts DSF Dec 31 2010" xfId="104"/>
    <cellStyle name="Comma 20" xfId="105"/>
    <cellStyle name="Comma 20 2" xfId="106"/>
    <cellStyle name="Comma 20 3" xfId="346"/>
    <cellStyle name="Comma 20 4" xfId="745"/>
    <cellStyle name="Comma 20 5" xfId="744"/>
    <cellStyle name="Comma 21" xfId="107"/>
    <cellStyle name="Comma 21 2" xfId="347"/>
    <cellStyle name="Comma 21 3" xfId="1427"/>
    <cellStyle name="Comma 22" xfId="108"/>
    <cellStyle name="Comma 22 2" xfId="746"/>
    <cellStyle name="Comma 22 3" xfId="348"/>
    <cellStyle name="Comma 23" xfId="109"/>
    <cellStyle name="Comma 23 2" xfId="349"/>
    <cellStyle name="Comma 24" xfId="110"/>
    <cellStyle name="Comma 24 2" xfId="350"/>
    <cellStyle name="Comma 24 3" xfId="1493"/>
    <cellStyle name="Comma 25" xfId="111"/>
    <cellStyle name="Comma 25 2" xfId="351"/>
    <cellStyle name="Comma 26" xfId="352"/>
    <cellStyle name="Comma 27" xfId="353"/>
    <cellStyle name="Comma 28" xfId="354"/>
    <cellStyle name="Comma 29" xfId="355"/>
    <cellStyle name="Comma 3" xfId="19"/>
    <cellStyle name="Comma 3 2" xfId="37"/>
    <cellStyle name="Comma 3 2 2" xfId="112"/>
    <cellStyle name="Comma 3 2 2 2" xfId="113"/>
    <cellStyle name="Comma 3 2 3" xfId="747"/>
    <cellStyle name="Comma 3 2 4" xfId="34"/>
    <cellStyle name="Comma 3 3" xfId="114"/>
    <cellStyle name="Comma 3 3 2" xfId="51"/>
    <cellStyle name="Comma 3 4" xfId="115"/>
    <cellStyle name="Comma 3 4 2" xfId="116"/>
    <cellStyle name="Comma 3 4 3" xfId="1514"/>
    <cellStyle name="Comma 3 5" xfId="117"/>
    <cellStyle name="Comma 3 6" xfId="356"/>
    <cellStyle name="Comma 3 7" xfId="1481"/>
    <cellStyle name="Comma 3_6. ASMF Accounts - December 12" xfId="880"/>
    <cellStyle name="Comma 30" xfId="357"/>
    <cellStyle name="Comma 31" xfId="358"/>
    <cellStyle name="Comma 32" xfId="359"/>
    <cellStyle name="Comma 33" xfId="360"/>
    <cellStyle name="Comma 34" xfId="361"/>
    <cellStyle name="Comma 35" xfId="362"/>
    <cellStyle name="Comma 36" xfId="363"/>
    <cellStyle name="Comma 37" xfId="364"/>
    <cellStyle name="Comma 37 2" xfId="1416"/>
    <cellStyle name="Comma 38" xfId="365"/>
    <cellStyle name="Comma 38 2" xfId="1444"/>
    <cellStyle name="Comma 39" xfId="366"/>
    <cellStyle name="Comma 4" xfId="367"/>
    <cellStyle name="Comma 4 2" xfId="118"/>
    <cellStyle name="Comma 4 2 2" xfId="119"/>
    <cellStyle name="Comma 4 2 2 2" xfId="882"/>
    <cellStyle name="Comma 4 3" xfId="120"/>
    <cellStyle name="Comma 4 3 2" xfId="749"/>
    <cellStyle name="Comma 4 3 4 2" xfId="1413"/>
    <cellStyle name="Comma 4 4" xfId="881"/>
    <cellStyle name="Comma 4 5" xfId="748"/>
    <cellStyle name="Comma 40" xfId="368"/>
    <cellStyle name="Comma 41" xfId="369"/>
    <cellStyle name="Comma 42" xfId="370"/>
    <cellStyle name="Comma 43" xfId="371"/>
    <cellStyle name="Comma 44" xfId="372"/>
    <cellStyle name="Comma 45" xfId="373"/>
    <cellStyle name="Comma 46" xfId="374"/>
    <cellStyle name="Comma 47" xfId="375"/>
    <cellStyle name="Comma 48" xfId="376"/>
    <cellStyle name="Comma 49" xfId="377"/>
    <cellStyle name="Comma 5" xfId="12"/>
    <cellStyle name="Comma 5 10" xfId="121"/>
    <cellStyle name="Comma 5 2" xfId="122"/>
    <cellStyle name="Comma 5 2 2" xfId="883"/>
    <cellStyle name="Comma 5 2 2 2" xfId="1263"/>
    <cellStyle name="Comma 5 2 2 3" xfId="1494"/>
    <cellStyle name="Comma 5 2 3" xfId="378"/>
    <cellStyle name="Comma 5 2 3 2" xfId="1518"/>
    <cellStyle name="Comma 5 3" xfId="123"/>
    <cellStyle name="Comma 5 3 2" xfId="750"/>
    <cellStyle name="Comma 50" xfId="379"/>
    <cellStyle name="Comma 50 2" xfId="1423"/>
    <cellStyle name="Comma 51" xfId="124"/>
    <cellStyle name="Comma 51 2" xfId="380"/>
    <cellStyle name="Comma 52" xfId="381"/>
    <cellStyle name="Comma 53" xfId="382"/>
    <cellStyle name="Comma 54" xfId="383"/>
    <cellStyle name="Comma 54 2" xfId="933"/>
    <cellStyle name="Comma 54 3" xfId="1266"/>
    <cellStyle name="Comma 55" xfId="931"/>
    <cellStyle name="Comma 56" xfId="728"/>
    <cellStyle name="Comma 57" xfId="303"/>
    <cellStyle name="Comma 58" xfId="236"/>
    <cellStyle name="Comma 59" xfId="1365"/>
    <cellStyle name="Comma 6" xfId="384"/>
    <cellStyle name="Comma 6 2" xfId="125"/>
    <cellStyle name="Comma 6 2 2" xfId="33"/>
    <cellStyle name="Comma 6 2 2 2" xfId="884"/>
    <cellStyle name="Comma 6 2 3" xfId="385"/>
    <cellStyle name="Comma 60" xfId="1384"/>
    <cellStyle name="Comma 7" xfId="126"/>
    <cellStyle name="Comma 7 2" xfId="127"/>
    <cellStyle name="Comma 7 2 2" xfId="885"/>
    <cellStyle name="Comma 70" xfId="1264"/>
    <cellStyle name="Comma 8" xfId="28"/>
    <cellStyle name="Comma 8 2" xfId="30"/>
    <cellStyle name="Comma 8 2 2 2" xfId="1435"/>
    <cellStyle name="Comma 8 3" xfId="128"/>
    <cellStyle name="Comma 8 3 2" xfId="1395"/>
    <cellStyle name="Comma 87" xfId="1442"/>
    <cellStyle name="Comma 9" xfId="129"/>
    <cellStyle name="Comma 9 2" xfId="130"/>
    <cellStyle name="Comma 9 3" xfId="131"/>
    <cellStyle name="Comma 9 3 2" xfId="1492"/>
    <cellStyle name="Comma 9 3 3" xfId="1510"/>
    <cellStyle name="Comma 9 3 4" xfId="1496"/>
    <cellStyle name="Comma_Accounts DSF December 31, 2010 2" xfId="1396"/>
    <cellStyle name="Comma_September 2011" xfId="1415"/>
    <cellStyle name="Comma_UTP RAHIM 30.06.06  July,7,2006(aP0" xfId="1529"/>
    <cellStyle name="Comma0" xfId="132"/>
    <cellStyle name="CompanyName" xfId="133"/>
    <cellStyle name="Component" xfId="752"/>
    <cellStyle name="Copied" xfId="753"/>
    <cellStyle name="Currency [00]" xfId="386"/>
    <cellStyle name="Currency [00] 2" xfId="387"/>
    <cellStyle name="Currency [00] 3" xfId="388"/>
    <cellStyle name="Currency 2" xfId="754"/>
    <cellStyle name="Currency0" xfId="134"/>
    <cellStyle name="Custom - Style1" xfId="389"/>
    <cellStyle name="Custom - Style8" xfId="755"/>
    <cellStyle name="Dash" xfId="135"/>
    <cellStyle name="Data   - Style2" xfId="390"/>
    <cellStyle name="Data   - Style2 2" xfId="391"/>
    <cellStyle name="Data   - Style2 2 2" xfId="1287"/>
    <cellStyle name="Data   - Style2 2 3" xfId="1385"/>
    <cellStyle name="Data   - Style2 2 4" xfId="907"/>
    <cellStyle name="Data   - Style2 3" xfId="1286"/>
    <cellStyle name="Data   - Style2 4" xfId="1386"/>
    <cellStyle name="Data   - Style2 5" xfId="1327"/>
    <cellStyle name="Date" xfId="886"/>
    <cellStyle name="Date Short" xfId="392"/>
    <cellStyle name="Description" xfId="756"/>
    <cellStyle name="Dezimal [0]_BINV" xfId="393"/>
    <cellStyle name="Dezimal_BINV" xfId="394"/>
    <cellStyle name="Dollar" xfId="136"/>
    <cellStyle name="Dollar 2" xfId="887"/>
    <cellStyle name="Enter Currency (0)" xfId="137"/>
    <cellStyle name="Enter Currency (0) 2" xfId="888"/>
    <cellStyle name="Enter Currency (0) 3" xfId="395"/>
    <cellStyle name="Enter Currency (2)" xfId="396"/>
    <cellStyle name="Enter Units (0)" xfId="397"/>
    <cellStyle name="Enter Units (1)" xfId="398"/>
    <cellStyle name="Enter Units (2)" xfId="399"/>
    <cellStyle name="Entered" xfId="757"/>
    <cellStyle name="Euro" xfId="138"/>
    <cellStyle name="Euro 2" xfId="401"/>
    <cellStyle name="Euro 3" xfId="402"/>
    <cellStyle name="Euro 4" xfId="758"/>
    <cellStyle name="Euro 5" xfId="400"/>
    <cellStyle name="Explanatory Text 2" xfId="404"/>
    <cellStyle name="Explanatory Text 3" xfId="759"/>
    <cellStyle name="Explanatory Text 4" xfId="760"/>
    <cellStyle name="Explanatory Text 5" xfId="403"/>
    <cellStyle name="Feature" xfId="761"/>
    <cellStyle name="Fixed" xfId="139"/>
    <cellStyle name="Good 2" xfId="406"/>
    <cellStyle name="Good 3" xfId="762"/>
    <cellStyle name="Good 4" xfId="763"/>
    <cellStyle name="Good 5" xfId="405"/>
    <cellStyle name="Grey" xfId="140"/>
    <cellStyle name="Grey 2" xfId="764"/>
    <cellStyle name="Grey 3" xfId="407"/>
    <cellStyle name="Header1" xfId="141"/>
    <cellStyle name="Header2" xfId="142"/>
    <cellStyle name="Header2 2" xfId="408"/>
    <cellStyle name="Header2 2 2" xfId="1302"/>
    <cellStyle name="Header2 3" xfId="409"/>
    <cellStyle name="Header2 3 2" xfId="1303"/>
    <cellStyle name="Header2 4" xfId="1301"/>
    <cellStyle name="Heading 1 2" xfId="411"/>
    <cellStyle name="Heading 1 3" xfId="766"/>
    <cellStyle name="Heading 1 4" xfId="767"/>
    <cellStyle name="Heading 1 5" xfId="765"/>
    <cellStyle name="Heading 1 6" xfId="410"/>
    <cellStyle name="Heading 2 2" xfId="413"/>
    <cellStyle name="Heading 2 3" xfId="769"/>
    <cellStyle name="Heading 2 4" xfId="770"/>
    <cellStyle name="Heading 2 5" xfId="768"/>
    <cellStyle name="Heading 2 6" xfId="412"/>
    <cellStyle name="Heading 3 2" xfId="415"/>
    <cellStyle name="Heading 3 3" xfId="772"/>
    <cellStyle name="Heading 3 4" xfId="773"/>
    <cellStyle name="Heading 3 5" xfId="771"/>
    <cellStyle name="Heading 3 6" xfId="414"/>
    <cellStyle name="Heading 4 2" xfId="417"/>
    <cellStyle name="Heading 4 3" xfId="775"/>
    <cellStyle name="Heading 4 4" xfId="776"/>
    <cellStyle name="Heading 4 5" xfId="774"/>
    <cellStyle name="Heading 4 6" xfId="416"/>
    <cellStyle name="Heading1" xfId="889"/>
    <cellStyle name="Heading2" xfId="890"/>
    <cellStyle name="Hyperlink 2" xfId="418"/>
    <cellStyle name="Hyperlink seguido" xfId="891"/>
    <cellStyle name="Input [yellow]" xfId="143"/>
    <cellStyle name="Input [yellow] 2" xfId="421"/>
    <cellStyle name="Input [yellow] 2 2" xfId="1305"/>
    <cellStyle name="Input [yellow] 3" xfId="422"/>
    <cellStyle name="Input [yellow] 3 2" xfId="1368"/>
    <cellStyle name="Input [yellow] 4" xfId="778"/>
    <cellStyle name="Input [yellow] 4 2" xfId="1387"/>
    <cellStyle name="Input [yellow] 5" xfId="420"/>
    <cellStyle name="Input [yellow] 6" xfId="1367"/>
    <cellStyle name="Input 10" xfId="777"/>
    <cellStyle name="Input 10 2" xfId="1339"/>
    <cellStyle name="Input 10 3" xfId="1390"/>
    <cellStyle name="Input 10 4" xfId="1374"/>
    <cellStyle name="Input 11" xfId="419"/>
    <cellStyle name="Input 12" xfId="1289"/>
    <cellStyle name="Input 13" xfId="1316"/>
    <cellStyle name="Input 14" xfId="1304"/>
    <cellStyle name="Input 2" xfId="423"/>
    <cellStyle name="Input 2 2" xfId="1290"/>
    <cellStyle name="Input 2 3" xfId="1315"/>
    <cellStyle name="Input 2 4" xfId="1372"/>
    <cellStyle name="Input 3" xfId="424"/>
    <cellStyle name="Input 3 2" xfId="1291"/>
    <cellStyle name="Input 3 3" xfId="1364"/>
    <cellStyle name="Input 3 4" xfId="1272"/>
    <cellStyle name="Input 4" xfId="425"/>
    <cellStyle name="Input 4 2" xfId="1292"/>
    <cellStyle name="Input 4 3" xfId="1355"/>
    <cellStyle name="Input 4 4" xfId="1273"/>
    <cellStyle name="Input 5" xfId="426"/>
    <cellStyle name="Input 5 2" xfId="1293"/>
    <cellStyle name="Input 5 3" xfId="1354"/>
    <cellStyle name="Input 5 4" xfId="1274"/>
    <cellStyle name="Input 6" xfId="427"/>
    <cellStyle name="Input 6 2" xfId="1294"/>
    <cellStyle name="Input 6 3" xfId="1353"/>
    <cellStyle name="Input 6 4" xfId="1275"/>
    <cellStyle name="Input 7" xfId="428"/>
    <cellStyle name="Input 7 2" xfId="1295"/>
    <cellStyle name="Input 7 3" xfId="1352"/>
    <cellStyle name="Input 7 4" xfId="1276"/>
    <cellStyle name="Input 8" xfId="429"/>
    <cellStyle name="Input 8 2" xfId="1296"/>
    <cellStyle name="Input 8 3" xfId="1351"/>
    <cellStyle name="Input 8 4" xfId="1277"/>
    <cellStyle name="Input 9" xfId="430"/>
    <cellStyle name="Input 9 2" xfId="1297"/>
    <cellStyle name="Input 9 3" xfId="1350"/>
    <cellStyle name="Input 9 4" xfId="1278"/>
    <cellStyle name="Instructions" xfId="779"/>
    <cellStyle name="Integer" xfId="144"/>
    <cellStyle name="Intial cap" xfId="145"/>
    <cellStyle name="Intitulé cours" xfId="431"/>
    <cellStyle name="Labels - Style3" xfId="432"/>
    <cellStyle name="Labels - Style3 2" xfId="433"/>
    <cellStyle name="Labels - Style3 2 2" xfId="1299"/>
    <cellStyle name="Labels - Style3 2 3" xfId="1348"/>
    <cellStyle name="Labels - Style3 2 4" xfId="1333"/>
    <cellStyle name="Labels - Style3 3" xfId="780"/>
    <cellStyle name="Labels - Style3 3 2" xfId="1340"/>
    <cellStyle name="Labels - Style3 3 3" xfId="1285"/>
    <cellStyle name="Labels - Style3 3 4" xfId="1288"/>
    <cellStyle name="Labels - Style3 4" xfId="1298"/>
    <cellStyle name="Labels - Style3 5" xfId="1349"/>
    <cellStyle name="Labels - Style3 6" xfId="1334"/>
    <cellStyle name="Lien hypertexte" xfId="434"/>
    <cellStyle name="Lien hypertexte visité" xfId="435"/>
    <cellStyle name="Lien hypertexte_VERA" xfId="436"/>
    <cellStyle name="Link Currency (0)" xfId="146"/>
    <cellStyle name="Link Currency (0) 2" xfId="892"/>
    <cellStyle name="Link Currency (0) 3" xfId="437"/>
    <cellStyle name="Link Currency (2)" xfId="438"/>
    <cellStyle name="Link Units (0)" xfId="439"/>
    <cellStyle name="Link Units (1)" xfId="440"/>
    <cellStyle name="Link Units (2)" xfId="441"/>
    <cellStyle name="Linked Cell 2" xfId="443"/>
    <cellStyle name="Linked Cell 3" xfId="781"/>
    <cellStyle name="Linked Cell 4" xfId="782"/>
    <cellStyle name="Linked Cell 5" xfId="442"/>
    <cellStyle name="Millares [0]_laroux" xfId="147"/>
    <cellStyle name="Millares_laroux" xfId="148"/>
    <cellStyle name="Milliers [0]_AR1194" xfId="444"/>
    <cellStyle name="Milliers_AR1194" xfId="445"/>
    <cellStyle name="Moeda [0]_dimon" xfId="893"/>
    <cellStyle name="Moeda_dimon" xfId="894"/>
    <cellStyle name="Mon?taire [0]_AR1194" xfId="446"/>
    <cellStyle name="Mon?taire_AR1194" xfId="447"/>
    <cellStyle name="Moneda [0]_pldt" xfId="149"/>
    <cellStyle name="Moneda_pldt" xfId="150"/>
    <cellStyle name="Monétaire [0]_EDYAN" xfId="151"/>
    <cellStyle name="Monétaire_EDYAN" xfId="152"/>
    <cellStyle name="Mon้taire [0]_AR1194" xfId="448"/>
    <cellStyle name="Mon้taire_AR1194" xfId="449"/>
    <cellStyle name="MOQ" xfId="153"/>
    <cellStyle name="Neutral 2" xfId="451"/>
    <cellStyle name="Neutral 3" xfId="783"/>
    <cellStyle name="Neutral 4" xfId="784"/>
    <cellStyle name="Neutral 5" xfId="450"/>
    <cellStyle name="New Markets operations Indicators" xfId="785"/>
    <cellStyle name="New Times Roman" xfId="154"/>
    <cellStyle name="Nom Responsable" xfId="452"/>
    <cellStyle name="Normal" xfId="0" builtinId="0"/>
    <cellStyle name="Normal - Style1" xfId="155"/>
    <cellStyle name="Normal - Style1 10" xfId="1482"/>
    <cellStyle name="Normal - Style1 2" xfId="156"/>
    <cellStyle name="Normal - Style1 2 2" xfId="1440"/>
    <cellStyle name="Normal - Style1 3" xfId="786"/>
    <cellStyle name="Normal - Style1 4" xfId="453"/>
    <cellStyle name="Normal 1" xfId="454"/>
    <cellStyle name="Normal 10" xfId="157"/>
    <cellStyle name="Normal 10 2" xfId="158"/>
    <cellStyle name="Normal 10 2 2" xfId="895"/>
    <cellStyle name="Normal 10 3" xfId="787"/>
    <cellStyle name="Normal 10 4" xfId="455"/>
    <cellStyle name="Normal 10 6" xfId="1407"/>
    <cellStyle name="Normal 11" xfId="159"/>
    <cellStyle name="Normal 11 2" xfId="457"/>
    <cellStyle name="Normal 11 2 2" xfId="896"/>
    <cellStyle name="Normal 11 2 2 2" xfId="1473"/>
    <cellStyle name="Normal 11 3" xfId="788"/>
    <cellStyle name="Normal 11 4" xfId="456"/>
    <cellStyle name="Normal 111" xfId="160"/>
    <cellStyle name="Normal 111 2" xfId="1491"/>
    <cellStyle name="Normal 111 3" xfId="1488"/>
    <cellStyle name="Normal 119" xfId="1443"/>
    <cellStyle name="Normal 12" xfId="18"/>
    <cellStyle name="Normal 12 2" xfId="459"/>
    <cellStyle name="Normal 12 2 2" xfId="897"/>
    <cellStyle name="Normal 12 3" xfId="789"/>
    <cellStyle name="Normal 12 4" xfId="458"/>
    <cellStyle name="Normal 125" xfId="1441"/>
    <cellStyle name="Normal 127" xfId="39"/>
    <cellStyle name="Normal 13" xfId="45"/>
    <cellStyle name="Normal 13 10" xfId="41"/>
    <cellStyle name="Normal 13 2" xfId="161"/>
    <cellStyle name="Normal 13 2 2" xfId="461"/>
    <cellStyle name="Normal 13 3" xfId="790"/>
    <cellStyle name="Normal 13 4" xfId="460"/>
    <cellStyle name="Normal 14" xfId="162"/>
    <cellStyle name="Normal 14 2" xfId="463"/>
    <cellStyle name="Normal 14 3" xfId="462"/>
    <cellStyle name="Normal 142" xfId="163"/>
    <cellStyle name="Normal 15" xfId="164"/>
    <cellStyle name="Normal 15 2" xfId="465"/>
    <cellStyle name="Normal 15 3" xfId="916"/>
    <cellStyle name="Normal 15 4" xfId="1245"/>
    <cellStyle name="Normal 15 5" xfId="791"/>
    <cellStyle name="Normal 15 6" xfId="464"/>
    <cellStyle name="Normal 16" xfId="165"/>
    <cellStyle name="Normal 16 2" xfId="1229"/>
    <cellStyle name="Normal 16 3" xfId="1256"/>
    <cellStyle name="Normal 16 4" xfId="866"/>
    <cellStyle name="Normal 16 5" xfId="466"/>
    <cellStyle name="Normal 16 7" xfId="1249"/>
    <cellStyle name="Normal 17" xfId="166"/>
    <cellStyle name="Normal 17 2" xfId="935"/>
    <cellStyle name="Normal 17 3" xfId="467"/>
    <cellStyle name="Normal 18" xfId="167"/>
    <cellStyle name="Normal 18 2" xfId="936"/>
    <cellStyle name="Normal 18 3" xfId="233"/>
    <cellStyle name="Normal 18 4" xfId="468"/>
    <cellStyle name="Normal 19" xfId="168"/>
    <cellStyle name="Normal 19 2" xfId="930"/>
    <cellStyle name="Normal 19 3" xfId="469"/>
    <cellStyle name="Normal 2" xfId="2"/>
    <cellStyle name="Normal 2 10" xfId="169"/>
    <cellStyle name="Normal 2 10 2" xfId="50"/>
    <cellStyle name="Normal 2 10 2 2" xfId="1455"/>
    <cellStyle name="Normal 2 10 2 2 2" xfId="1509"/>
    <cellStyle name="Normal 2 10 3" xfId="792"/>
    <cellStyle name="Normal 2 10 3 2" xfId="1470"/>
    <cellStyle name="Normal 2 11" xfId="1062"/>
    <cellStyle name="Normal 2 12" xfId="1063"/>
    <cellStyle name="Normal 2 13" xfId="170"/>
    <cellStyle name="Normal 2 14" xfId="1064"/>
    <cellStyle name="Normal 2 15" xfId="1065"/>
    <cellStyle name="Normal 2 16" xfId="1066"/>
    <cellStyle name="Normal 2 17" xfId="1067"/>
    <cellStyle name="Normal 2 18" xfId="1068"/>
    <cellStyle name="Normal 2 19" xfId="1069"/>
    <cellStyle name="Normal 2 2" xfId="4"/>
    <cellStyle name="Normal 2 2 10" xfId="1070"/>
    <cellStyle name="Normal 2 2 11" xfId="1071"/>
    <cellStyle name="Normal 2 2 12" xfId="1072"/>
    <cellStyle name="Normal 2 2 13" xfId="1073"/>
    <cellStyle name="Normal 2 2 14" xfId="1074"/>
    <cellStyle name="Normal 2 2 15" xfId="1075"/>
    <cellStyle name="Normal 2 2 16" xfId="1076"/>
    <cellStyle name="Normal 2 2 17" xfId="1077"/>
    <cellStyle name="Normal 2 2 18" xfId="1078"/>
    <cellStyle name="Normal 2 2 19" xfId="1079"/>
    <cellStyle name="Normal 2 2 2" xfId="13"/>
    <cellStyle name="Normal 2 2 2 2" xfId="171"/>
    <cellStyle name="Normal 2 2 2 2 10" xfId="1262"/>
    <cellStyle name="Normal 2 2 2 3" xfId="1080"/>
    <cellStyle name="Normal 2 2 2 3 2" xfId="1436"/>
    <cellStyle name="Normal 2 2 2 3 3" xfId="1475"/>
    <cellStyle name="Normal 2 2 2 4" xfId="1265"/>
    <cellStyle name="Normal 2 2 20" xfId="1081"/>
    <cellStyle name="Normal 2 2 21" xfId="1082"/>
    <cellStyle name="Normal 2 2 22" xfId="1083"/>
    <cellStyle name="Normal 2 2 23" xfId="1084"/>
    <cellStyle name="Normal 2 2 24" xfId="1085"/>
    <cellStyle name="Normal 2 2 25" xfId="1086"/>
    <cellStyle name="Normal 2 2 26" xfId="1087"/>
    <cellStyle name="Normal 2 2 27" xfId="1088"/>
    <cellStyle name="Normal 2 2 28" xfId="1089"/>
    <cellStyle name="Normal 2 2 29" xfId="1090"/>
    <cellStyle name="Normal 2 2 3" xfId="172"/>
    <cellStyle name="Normal 2 2 3 2" xfId="1091"/>
    <cellStyle name="Normal 2 2 3 3" xfId="793"/>
    <cellStyle name="Normal 2 2 3 4" xfId="1508"/>
    <cellStyle name="Normal 2 2 30" xfId="1092"/>
    <cellStyle name="Normal 2 2 31" xfId="1093"/>
    <cellStyle name="Normal 2 2 32" xfId="42"/>
    <cellStyle name="Normal 2 2 32 2" xfId="1094"/>
    <cellStyle name="Normal 2 2 33" xfId="1095"/>
    <cellStyle name="Normal 2 2 34" xfId="1096"/>
    <cellStyle name="Normal 2 2 35" xfId="1097"/>
    <cellStyle name="Normal 2 2 36" xfId="1098"/>
    <cellStyle name="Normal 2 2 37" xfId="1099"/>
    <cellStyle name="Normal 2 2 38" xfId="1100"/>
    <cellStyle name="Normal 2 2 39" xfId="1101"/>
    <cellStyle name="Normal 2 2 4" xfId="1102"/>
    <cellStyle name="Normal 2 2 40" xfId="1103"/>
    <cellStyle name="Normal 2 2 41" xfId="1104"/>
    <cellStyle name="Normal 2 2 42" xfId="1105"/>
    <cellStyle name="Normal 2 2 43" xfId="1106"/>
    <cellStyle name="Normal 2 2 44" xfId="1107"/>
    <cellStyle name="Normal 2 2 45" xfId="898"/>
    <cellStyle name="Normal 2 2 46" xfId="470"/>
    <cellStyle name="Normal 2 2 5" xfId="1108"/>
    <cellStyle name="Normal 2 2 6" xfId="1109"/>
    <cellStyle name="Normal 2 2 7" xfId="1110"/>
    <cellStyle name="Normal 2 2 8" xfId="1111"/>
    <cellStyle name="Normal 2 2 9" xfId="1112"/>
    <cellStyle name="Normal 2 2_CC PcmL updated 2" xfId="32"/>
    <cellStyle name="Normal 2 20" xfId="1113"/>
    <cellStyle name="Normal 2 21" xfId="1114"/>
    <cellStyle name="Normal 2 22" xfId="1115"/>
    <cellStyle name="Normal 2 23" xfId="1116"/>
    <cellStyle name="Normal 2 24" xfId="1117"/>
    <cellStyle name="Normal 2 25" xfId="1118"/>
    <cellStyle name="Normal 2 26" xfId="1119"/>
    <cellStyle name="Normal 2 27" xfId="1120"/>
    <cellStyle name="Normal 2 28" xfId="1121"/>
    <cellStyle name="Normal 2 29" xfId="1122"/>
    <cellStyle name="Normal 2 3" xfId="173"/>
    <cellStyle name="Normal 2 3 2" xfId="174"/>
    <cellStyle name="Normal 2 3 2 2" xfId="472"/>
    <cellStyle name="Normal 2 3 3" xfId="471"/>
    <cellStyle name="Normal 2 3 4" xfId="1414"/>
    <cellStyle name="Normal 2 3 5" xfId="1458"/>
    <cellStyle name="Normal 2 30" xfId="1123"/>
    <cellStyle name="Normal 2 31" xfId="1124"/>
    <cellStyle name="Normal 2 32" xfId="1125"/>
    <cellStyle name="Normal 2 33" xfId="1126"/>
    <cellStyle name="Normal 2 34" xfId="1127"/>
    <cellStyle name="Normal 2 35" xfId="1128"/>
    <cellStyle name="Normal 2 36" xfId="1129"/>
    <cellStyle name="Normal 2 37" xfId="1130"/>
    <cellStyle name="Normal 2 38" xfId="1131"/>
    <cellStyle name="Normal 2 39" xfId="1132"/>
    <cellStyle name="Normal 2 4" xfId="175"/>
    <cellStyle name="Normal 2 4 2" xfId="176"/>
    <cellStyle name="Normal 2 4 2 2" xfId="474"/>
    <cellStyle name="Normal 2 4 3" xfId="473"/>
    <cellStyle name="Normal 2 40" xfId="1133"/>
    <cellStyle name="Normal 2 41" xfId="1134"/>
    <cellStyle name="Normal 2 42" xfId="1135"/>
    <cellStyle name="Normal 2 43" xfId="1136"/>
    <cellStyle name="Normal 2 44" xfId="1137"/>
    <cellStyle name="Normal 2 45" xfId="1138"/>
    <cellStyle name="Normal 2 46" xfId="1139"/>
    <cellStyle name="Normal 2 47" xfId="1140"/>
    <cellStyle name="Normal 2 48" xfId="1141"/>
    <cellStyle name="Normal 2 5" xfId="177"/>
    <cellStyle name="Normal 2 5 2" xfId="475"/>
    <cellStyle name="Normal 2 6" xfId="476"/>
    <cellStyle name="Normal 2 6 2" xfId="899"/>
    <cellStyle name="Normal 2 6 2 2" xfId="1406"/>
    <cellStyle name="Normal 2 6 3" xfId="794"/>
    <cellStyle name="Normal 2 6 4" xfId="1409"/>
    <cellStyle name="Normal 2 7" xfId="477"/>
    <cellStyle name="Normal 2 8" xfId="1142"/>
    <cellStyle name="Normal 2 9" xfId="178"/>
    <cellStyle name="Normal 2 9 2" xfId="1143"/>
    <cellStyle name="Normal 2_14 july" xfId="478"/>
    <cellStyle name="Normal 20" xfId="179"/>
    <cellStyle name="Normal 20 2" xfId="480"/>
    <cellStyle name="Normal 20 2 2" xfId="1512"/>
    <cellStyle name="Normal 20 3" xfId="481"/>
    <cellStyle name="Normal 20 4" xfId="479"/>
    <cellStyle name="Normal 20 5" xfId="1400"/>
    <cellStyle name="Normal 202" xfId="1460"/>
    <cellStyle name="Normal 21" xfId="180"/>
    <cellStyle name="Normal 21 2" xfId="917"/>
    <cellStyle name="Normal 21 3" xfId="482"/>
    <cellStyle name="Normal 22" xfId="181"/>
    <cellStyle name="Normal 22 2" xfId="918"/>
    <cellStyle name="Normal 22 3" xfId="483"/>
    <cellStyle name="Normal 22 3 5" xfId="1410"/>
    <cellStyle name="Normal 22 3 5 2" xfId="1449"/>
    <cellStyle name="Normal 22 5" xfId="1424"/>
    <cellStyle name="Normal 23" xfId="182"/>
    <cellStyle name="Normal 23 2" xfId="919"/>
    <cellStyle name="Normal 23 3" xfId="484"/>
    <cellStyle name="Normal 24" xfId="183"/>
    <cellStyle name="Normal 24 2" xfId="920"/>
    <cellStyle name="Normal 24 3" xfId="485"/>
    <cellStyle name="Normal 25" xfId="184"/>
    <cellStyle name="Normal 25 2" xfId="921"/>
    <cellStyle name="Normal 25 2 3" xfId="1432"/>
    <cellStyle name="Normal 25 3" xfId="486"/>
    <cellStyle name="Normal 26" xfId="185"/>
    <cellStyle name="Normal 26 2" xfId="922"/>
    <cellStyle name="Normal 26 3" xfId="487"/>
    <cellStyle name="Normal 27" xfId="186"/>
    <cellStyle name="Normal 27 2" xfId="923"/>
    <cellStyle name="Normal 27 3" xfId="488"/>
    <cellStyle name="Normal 28" xfId="187"/>
    <cellStyle name="Normal 28 2" xfId="924"/>
    <cellStyle name="Normal 28 3" xfId="489"/>
    <cellStyle name="Normal 29" xfId="188"/>
    <cellStyle name="Normal 29 2" xfId="925"/>
    <cellStyle name="Normal 29 3" xfId="490"/>
    <cellStyle name="Normal 3" xfId="5"/>
    <cellStyle name="Normal 3 10" xfId="1253"/>
    <cellStyle name="Normal 3 11" xfId="795"/>
    <cellStyle name="Normal 3 2" xfId="31"/>
    <cellStyle name="Normal 3 2 2" xfId="189"/>
    <cellStyle name="Normal 3 2 2 2" xfId="491"/>
    <cellStyle name="Normal 3 2 2 2 2" xfId="1467"/>
    <cellStyle name="Normal 3 2 3" xfId="190"/>
    <cellStyle name="Normal 3 2_Accounts June 30, 2012 IF - 2nd Draft" xfId="796"/>
    <cellStyle name="Normal 3 3" xfId="191"/>
    <cellStyle name="Normal 3 3 2" xfId="797"/>
    <cellStyle name="Normal 3 3 3" xfId="492"/>
    <cellStyle name="Normal 3 3 4" xfId="1521"/>
    <cellStyle name="Normal 3 4" xfId="192"/>
    <cellStyle name="Normal 3 4 2" xfId="900"/>
    <cellStyle name="Normal 3 5" xfId="1244"/>
    <cellStyle name="Normal 3 6" xfId="1255"/>
    <cellStyle name="Normal 3 7" xfId="1250"/>
    <cellStyle name="Normal 3 8" xfId="1254"/>
    <cellStyle name="Normal 3 9" xfId="1251"/>
    <cellStyle name="Normal 3_31 Dec Accounts 2009-NIUT" xfId="798"/>
    <cellStyle name="Normal 30" xfId="193"/>
    <cellStyle name="Normal 30 2" xfId="926"/>
    <cellStyle name="Normal 30 3" xfId="493"/>
    <cellStyle name="Normal 31" xfId="194"/>
    <cellStyle name="Normal 31 2" xfId="927"/>
    <cellStyle name="Normal 31 3" xfId="494"/>
    <cellStyle name="Normal 32" xfId="495"/>
    <cellStyle name="Normal 32 2" xfId="928"/>
    <cellStyle name="Normal 33" xfId="496"/>
    <cellStyle name="Normal 33 2" xfId="929"/>
    <cellStyle name="Normal 34" xfId="497"/>
    <cellStyle name="Normal 34 2" xfId="1247"/>
    <cellStyle name="Normal 34 3" xfId="1241"/>
    <cellStyle name="Normal 35" xfId="498"/>
    <cellStyle name="Normal 35 2" xfId="1230"/>
    <cellStyle name="Normal 35 3" xfId="1454"/>
    <cellStyle name="Normal 36" xfId="499"/>
    <cellStyle name="Normal 36 2" xfId="1242"/>
    <cellStyle name="Normal 37" xfId="500"/>
    <cellStyle name="Normal 37 2" xfId="1227"/>
    <cellStyle name="Normal 38" xfId="501"/>
    <cellStyle name="Normal 38 2" xfId="1228"/>
    <cellStyle name="Normal 38 2 2" xfId="1451"/>
    <cellStyle name="Normal 38 3" xfId="1405"/>
    <cellStyle name="Normal 38 4" xfId="1422"/>
    <cellStyle name="Normal 39" xfId="502"/>
    <cellStyle name="Normal 39 2" xfId="1231"/>
    <cellStyle name="Normal 4" xfId="11"/>
    <cellStyle name="Normal 4 2" xfId="195"/>
    <cellStyle name="Normal 4 2 2" xfId="800"/>
    <cellStyle name="Normal 4 2 2 2" xfId="1519"/>
    <cellStyle name="Normal 4 2 3" xfId="1480"/>
    <cellStyle name="Normal 4 3" xfId="196"/>
    <cellStyle name="Normal 4 3 2" xfId="901"/>
    <cellStyle name="Normal 4 4" xfId="799"/>
    <cellStyle name="Normal 4 5" xfId="503"/>
    <cellStyle name="Normal 4_Accounts June 30, 2012 IF - 2nd Draft" xfId="801"/>
    <cellStyle name="Normal 40" xfId="504"/>
    <cellStyle name="Normal 40 2" xfId="1232"/>
    <cellStyle name="Normal 41" xfId="505"/>
    <cellStyle name="Normal 42" xfId="506"/>
    <cellStyle name="Normal 43" xfId="507"/>
    <cellStyle name="Normal 44" xfId="508"/>
    <cellStyle name="Normal 44 2" xfId="1426"/>
    <cellStyle name="Normal 44 2 4" xfId="1392"/>
    <cellStyle name="Normal 44 3" xfId="1425"/>
    <cellStyle name="Normal 44 3 2" xfId="1485"/>
    <cellStyle name="Normal 45" xfId="509"/>
    <cellStyle name="Normal 46" xfId="802"/>
    <cellStyle name="Normal 46 7 2" xfId="1522"/>
    <cellStyle name="Normal 47" xfId="1233"/>
    <cellStyle name="Normal 48" xfId="1234"/>
    <cellStyle name="Normal 49" xfId="803"/>
    <cellStyle name="Normal 5" xfId="510"/>
    <cellStyle name="Normal 5 10" xfId="804"/>
    <cellStyle name="Normal 5 2" xfId="197"/>
    <cellStyle name="Normal 5 2 2" xfId="512"/>
    <cellStyle name="Normal 5 2 2 2" xfId="27"/>
    <cellStyle name="Normal 5 2 3" xfId="511"/>
    <cellStyle name="Normal 5 3" xfId="198"/>
    <cellStyle name="Normal 5 3 25" xfId="1499"/>
    <cellStyle name="Normal 5 31" xfId="1500"/>
    <cellStyle name="Normal 5 4" xfId="199"/>
    <cellStyle name="Normal 5 4 2" xfId="513"/>
    <cellStyle name="Normal 5_31 Dec Accounts 2009-NIUT" xfId="805"/>
    <cellStyle name="Normal 50" xfId="1235"/>
    <cellStyle name="Normal 51" xfId="1236"/>
    <cellStyle name="Normal 52" xfId="937"/>
    <cellStyle name="Normal 53" xfId="932"/>
    <cellStyle name="Normal 54" xfId="934"/>
    <cellStyle name="Normal 55" xfId="615"/>
    <cellStyle name="Normal 56" xfId="1237"/>
    <cellStyle name="Normal 57" xfId="1238"/>
    <cellStyle name="Normal 58" xfId="1267"/>
    <cellStyle name="Normal 59" xfId="1239"/>
    <cellStyle name="Normal 6" xfId="514"/>
    <cellStyle name="Normal 6 2" xfId="21"/>
    <cellStyle name="Normal 6 2 2" xfId="48"/>
    <cellStyle name="Normal 6 2 2 2" xfId="902"/>
    <cellStyle name="Normal 6 2 2 2 2" xfId="1476"/>
    <cellStyle name="Normal 6 2 2 3" xfId="1434"/>
    <cellStyle name="Normal 6 2 3" xfId="1261"/>
    <cellStyle name="Normal 6 2 3 2" xfId="1438"/>
    <cellStyle name="Normal 6 2 3 2 2" xfId="1507"/>
    <cellStyle name="Normal 6 2 3 3" xfId="1472"/>
    <cellStyle name="Normal 6 2 5" xfId="1495"/>
    <cellStyle name="Normal 6 2 5 2" xfId="1453"/>
    <cellStyle name="Normal 6 3" xfId="200"/>
    <cellStyle name="Normal 6 3 2" xfId="904"/>
    <cellStyle name="Normal 6 3 3" xfId="903"/>
    <cellStyle name="Normal 6 3 4" xfId="1248"/>
    <cellStyle name="Normal 6 4" xfId="806"/>
    <cellStyle name="Normal 6_Accounts June 30, 2012 IF - 2nd Draft" xfId="807"/>
    <cellStyle name="Normal 60" xfId="1240"/>
    <cellStyle name="Normal 61" xfId="235"/>
    <cellStyle name="Normal 62" xfId="1259"/>
    <cellStyle name="Normal 63" xfId="1362"/>
    <cellStyle name="Normal 64" xfId="1377"/>
    <cellStyle name="Normal 7" xfId="201"/>
    <cellStyle name="Normal 7 2" xfId="905"/>
    <cellStyle name="Normal 7 2 2" xfId="1439"/>
    <cellStyle name="Normal 7 2 3" xfId="1487"/>
    <cellStyle name="Normal 7 3" xfId="515"/>
    <cellStyle name="Normal 72" xfId="1393"/>
    <cellStyle name="Normal 73" xfId="1260"/>
    <cellStyle name="Normal 78 2" xfId="1429"/>
    <cellStyle name="Normal 79 2" xfId="1428"/>
    <cellStyle name="Normal 8" xfId="202"/>
    <cellStyle name="Normal 8 2" xfId="203"/>
    <cellStyle name="Normal 8 2 2" xfId="517"/>
    <cellStyle name="Normal 8 3" xfId="518"/>
    <cellStyle name="Normal 8 4" xfId="516"/>
    <cellStyle name="Normal 8 5" xfId="1513"/>
    <cellStyle name="Normal 80 2" xfId="1430"/>
    <cellStyle name="Normal 9" xfId="204"/>
    <cellStyle name="Normal 9 10" xfId="1526"/>
    <cellStyle name="Normal 9 2" xfId="205"/>
    <cellStyle name="Normal 9 2 2" xfId="906"/>
    <cellStyle name="Normal 9 3" xfId="519"/>
    <cellStyle name="Normal 9_Financial statements-2008-Without provision" xfId="520"/>
    <cellStyle name="Normal 90" xfId="1456"/>
    <cellStyle name="Normal_Accounts after SHR changes Final" xfId="44"/>
    <cellStyle name="Normal_AIF - Annual Accounts - 30.06.2008" xfId="1398"/>
    <cellStyle name="Normal_DSF Dec 2007 (11.1.08) 2" xfId="234"/>
    <cellStyle name="Normal_DSF JUN 30, 2007" xfId="1399"/>
    <cellStyle name="Normal_FIGF Accounts Dec 31, 09 3" xfId="1530"/>
    <cellStyle name="Normal_Final accou by farrukh PCMF" xfId="17"/>
    <cellStyle name="Normal_PIF may account 3rd draft 2" xfId="36"/>
    <cellStyle name="Normal_Portfolio" xfId="26"/>
    <cellStyle name="Normal_Portfolio 2 3" xfId="1525"/>
    <cellStyle name="Normal_PPFL accounts June 30, 2010(FORMATTED)" xfId="1527"/>
    <cellStyle name="Normal_PSM DEC 2003(Final by Auditors)" xfId="1528"/>
    <cellStyle name="Normal_UNILET97 2" xfId="1523"/>
    <cellStyle name="Normal_UNILET97 3" xfId="1524"/>
    <cellStyle name="Normal_UTP - First Draft 20 July 2009" xfId="1403"/>
    <cellStyle name="Normal_UTP Half Yearly Acc 31 - 2002" xfId="1417"/>
    <cellStyle name="Normal_Worksheet in   PGF 2005 final" xfId="16"/>
    <cellStyle name="Normal1" xfId="43"/>
    <cellStyle name="Note 2" xfId="206"/>
    <cellStyle name="Note 2 2" xfId="808"/>
    <cellStyle name="Note 2 2 2" xfId="1342"/>
    <cellStyle name="Note 2 2 3" xfId="1284"/>
    <cellStyle name="Note 2 3" xfId="522"/>
    <cellStyle name="Note 2 4" xfId="1311"/>
    <cellStyle name="Note 2 5" xfId="1370"/>
    <cellStyle name="Note 3" xfId="523"/>
    <cellStyle name="Note 3 2" xfId="809"/>
    <cellStyle name="Note 3 2 2" xfId="1343"/>
    <cellStyle name="Note 3 2 3" xfId="1283"/>
    <cellStyle name="Note 3 3" xfId="1312"/>
    <cellStyle name="Note 3 4" xfId="1307"/>
    <cellStyle name="Note 4" xfId="810"/>
    <cellStyle name="Note 4 2" xfId="1344"/>
    <cellStyle name="Note 4 3" xfId="1282"/>
    <cellStyle name="Note 5" xfId="521"/>
    <cellStyle name="Note 6" xfId="1310"/>
    <cellStyle name="Note 7" xfId="1308"/>
    <cellStyle name="Option" xfId="811"/>
    <cellStyle name="Output 2" xfId="525"/>
    <cellStyle name="Output 2 2" xfId="1314"/>
    <cellStyle name="Output 2 3" xfId="1306"/>
    <cellStyle name="Output 3" xfId="813"/>
    <cellStyle name="Output 3 2" xfId="1346"/>
    <cellStyle name="Output 3 3" xfId="1280"/>
    <cellStyle name="Output 4" xfId="814"/>
    <cellStyle name="Output 4 2" xfId="1347"/>
    <cellStyle name="Output 4 3" xfId="1279"/>
    <cellStyle name="Output 5" xfId="812"/>
    <cellStyle name="Output 5 2" xfId="1345"/>
    <cellStyle name="Output 5 3" xfId="1281"/>
    <cellStyle name="Output 6" xfId="524"/>
    <cellStyle name="Output 7" xfId="1313"/>
    <cellStyle name="Output 8" xfId="1369"/>
    <cellStyle name="OUTPUT AMOUNTS" xfId="815"/>
    <cellStyle name="Output Amounts 2" xfId="816"/>
    <cellStyle name="Output Amounts_DOM Balanced 24 Jan 2008" xfId="817"/>
    <cellStyle name="OUTPUT COLUMN HEADINGS" xfId="818"/>
    <cellStyle name="Output Column Headings 2" xfId="819"/>
    <cellStyle name="Output Column Headings_KP_-_ANNUAL_ACCOUNTS EPZ" xfId="820"/>
    <cellStyle name="OUTPUT LINE ITEMS" xfId="821"/>
    <cellStyle name="Output Line Items 2" xfId="822"/>
    <cellStyle name="Output Line Items_DOM Balanced 24 Jan 2008" xfId="823"/>
    <cellStyle name="OUTPUT REPORT HEADING" xfId="824"/>
    <cellStyle name="Output Report Heading 2" xfId="825"/>
    <cellStyle name="Output Report Heading_KP_-_ANNUAL_ACCOUNTS EPZ" xfId="826"/>
    <cellStyle name="OUTPUT REPORT TITLE" xfId="827"/>
    <cellStyle name="Output Report Title 2" xfId="828"/>
    <cellStyle name="Output Report Title_KP_-_ANNUAL_ACCOUNTS EPZ" xfId="829"/>
    <cellStyle name="p/n" xfId="207"/>
    <cellStyle name="Percent" xfId="47" builtinId="5"/>
    <cellStyle name="Percent [0]" xfId="526"/>
    <cellStyle name="Percent [0] 2" xfId="527"/>
    <cellStyle name="Percent [0] 3" xfId="528"/>
    <cellStyle name="Percent [00]" xfId="529"/>
    <cellStyle name="Percent [00] 2" xfId="530"/>
    <cellStyle name="Percent [00] 3" xfId="531"/>
    <cellStyle name="Percent [2]" xfId="208"/>
    <cellStyle name="Percent [2] 2" xfId="532"/>
    <cellStyle name="Percent [2] 3" xfId="533"/>
    <cellStyle name="Percent 10" xfId="534"/>
    <cellStyle name="Percent 11" xfId="535"/>
    <cellStyle name="Percent 12" xfId="536"/>
    <cellStyle name="Percent 12 2" xfId="1397"/>
    <cellStyle name="Percent 13" xfId="537"/>
    <cellStyle name="Percent 14" xfId="538"/>
    <cellStyle name="Percent 15" xfId="539"/>
    <cellStyle name="Percent 16" xfId="540"/>
    <cellStyle name="Percent 17" xfId="541"/>
    <cellStyle name="Percent 18" xfId="542"/>
    <cellStyle name="Percent 19" xfId="543"/>
    <cellStyle name="Percent 2" xfId="6"/>
    <cellStyle name="Percent 2 10" xfId="1144"/>
    <cellStyle name="Percent 2 11" xfId="1145"/>
    <cellStyle name="Percent 2 12" xfId="1146"/>
    <cellStyle name="Percent 2 13" xfId="1147"/>
    <cellStyle name="Percent 2 14" xfId="1148"/>
    <cellStyle name="Percent 2 15" xfId="1149"/>
    <cellStyle name="Percent 2 16" xfId="1150"/>
    <cellStyle name="Percent 2 17" xfId="1151"/>
    <cellStyle name="Percent 2 18" xfId="1152"/>
    <cellStyle name="Percent 2 19" xfId="1153"/>
    <cellStyle name="Percent 2 2" xfId="209"/>
    <cellStyle name="Percent 2 2 10" xfId="1154"/>
    <cellStyle name="Percent 2 2 11" xfId="1155"/>
    <cellStyle name="Percent 2 2 12" xfId="1156"/>
    <cellStyle name="Percent 2 2 13" xfId="1157"/>
    <cellStyle name="Percent 2 2 14" xfId="1158"/>
    <cellStyle name="Percent 2 2 15" xfId="1159"/>
    <cellStyle name="Percent 2 2 16" xfId="1160"/>
    <cellStyle name="Percent 2 2 17" xfId="1161"/>
    <cellStyle name="Percent 2 2 18" xfId="1162"/>
    <cellStyle name="Percent 2 2 19" xfId="1163"/>
    <cellStyle name="Percent 2 2 2" xfId="24"/>
    <cellStyle name="Percent 2 2 2 2" xfId="544"/>
    <cellStyle name="Percent 2 2 20" xfId="1164"/>
    <cellStyle name="Percent 2 2 21" xfId="1165"/>
    <cellStyle name="Percent 2 2 22" xfId="1166"/>
    <cellStyle name="Percent 2 2 23" xfId="1167"/>
    <cellStyle name="Percent 2 2 24" xfId="1168"/>
    <cellStyle name="Percent 2 2 25" xfId="1169"/>
    <cellStyle name="Percent 2 2 26" xfId="1170"/>
    <cellStyle name="Percent 2 2 27" xfId="1171"/>
    <cellStyle name="Percent 2 2 28" xfId="1172"/>
    <cellStyle name="Percent 2 2 29" xfId="1173"/>
    <cellStyle name="Percent 2 2 3" xfId="210"/>
    <cellStyle name="Percent 2 2 30" xfId="1174"/>
    <cellStyle name="Percent 2 2 31" xfId="1175"/>
    <cellStyle name="Percent 2 2 32" xfId="1176"/>
    <cellStyle name="Percent 2 2 33" xfId="1177"/>
    <cellStyle name="Percent 2 2 34" xfId="1178"/>
    <cellStyle name="Percent 2 2 35" xfId="1179"/>
    <cellStyle name="Percent 2 2 36" xfId="1180"/>
    <cellStyle name="Percent 2 2 37" xfId="1181"/>
    <cellStyle name="Percent 2 2 38" xfId="1182"/>
    <cellStyle name="Percent 2 2 39" xfId="1183"/>
    <cellStyle name="Percent 2 2 4" xfId="1184"/>
    <cellStyle name="Percent 2 2 40" xfId="1185"/>
    <cellStyle name="Percent 2 2 41" xfId="1186"/>
    <cellStyle name="Percent 2 2 42" xfId="1187"/>
    <cellStyle name="Percent 2 2 43" xfId="1188"/>
    <cellStyle name="Percent 2 2 44" xfId="1189"/>
    <cellStyle name="Percent 2 2 5" xfId="1190"/>
    <cellStyle name="Percent 2 2 6" xfId="1191"/>
    <cellStyle name="Percent 2 2 7" xfId="1192"/>
    <cellStyle name="Percent 2 2 8" xfId="1193"/>
    <cellStyle name="Percent 2 2 9" xfId="1194"/>
    <cellStyle name="Percent 2 20" xfId="1195"/>
    <cellStyle name="Percent 2 21" xfId="1196"/>
    <cellStyle name="Percent 2 22" xfId="1197"/>
    <cellStyle name="Percent 2 23" xfId="1198"/>
    <cellStyle name="Percent 2 24" xfId="1199"/>
    <cellStyle name="Percent 2 25" xfId="1200"/>
    <cellStyle name="Percent 2 26" xfId="1201"/>
    <cellStyle name="Percent 2 27" xfId="1202"/>
    <cellStyle name="Percent 2 28" xfId="1203"/>
    <cellStyle name="Percent 2 29" xfId="1204"/>
    <cellStyle name="Percent 2 3" xfId="211"/>
    <cellStyle name="Percent 2 3 2" xfId="545"/>
    <cellStyle name="Percent 2 30" xfId="1205"/>
    <cellStyle name="Percent 2 31" xfId="1206"/>
    <cellStyle name="Percent 2 32" xfId="1207"/>
    <cellStyle name="Percent 2 33" xfId="1208"/>
    <cellStyle name="Percent 2 34" xfId="1209"/>
    <cellStyle name="Percent 2 35" xfId="1210"/>
    <cellStyle name="Percent 2 36" xfId="1211"/>
    <cellStyle name="Percent 2 37" xfId="1212"/>
    <cellStyle name="Percent 2 38" xfId="1213"/>
    <cellStyle name="Percent 2 39" xfId="1214"/>
    <cellStyle name="Percent 2 4" xfId="212"/>
    <cellStyle name="Percent 2 4 2" xfId="546"/>
    <cellStyle name="Percent 2 40" xfId="1215"/>
    <cellStyle name="Percent 2 41" xfId="1216"/>
    <cellStyle name="Percent 2 42" xfId="1217"/>
    <cellStyle name="Percent 2 43" xfId="1218"/>
    <cellStyle name="Percent 2 44" xfId="1219"/>
    <cellStyle name="Percent 2 45" xfId="1220"/>
    <cellStyle name="Percent 2 46" xfId="1221"/>
    <cellStyle name="Percent 2 47" xfId="1222"/>
    <cellStyle name="Percent 2 48" xfId="1223"/>
    <cellStyle name="Percent 2 5" xfId="213"/>
    <cellStyle name="Percent 2 5 2" xfId="547"/>
    <cellStyle name="Percent 2 6" xfId="548"/>
    <cellStyle name="Percent 2 6 2" xfId="831"/>
    <cellStyle name="Percent 2 7" xfId="549"/>
    <cellStyle name="Percent 2 8" xfId="1224"/>
    <cellStyle name="Percent 2 9" xfId="1225"/>
    <cellStyle name="Percent 2_Accounts DSF Dec 31 2010" xfId="214"/>
    <cellStyle name="Percent 20" xfId="550"/>
    <cellStyle name="Percent 21" xfId="551"/>
    <cellStyle name="Percent 22" xfId="552"/>
    <cellStyle name="Percent 23" xfId="553"/>
    <cellStyle name="Percent 24" xfId="554"/>
    <cellStyle name="Percent 25" xfId="555"/>
    <cellStyle name="Percent 26" xfId="556"/>
    <cellStyle name="Percent 27" xfId="557"/>
    <cellStyle name="Percent 28" xfId="558"/>
    <cellStyle name="Percent 29" xfId="559"/>
    <cellStyle name="Percent 3" xfId="35"/>
    <cellStyle name="Percent 3 2" xfId="215"/>
    <cellStyle name="Percent 3 2 2" xfId="908"/>
    <cellStyle name="Percent 3 2 3" xfId="560"/>
    <cellStyle name="Percent 3 3" xfId="216"/>
    <cellStyle name="Percent 3 3 2" xfId="217"/>
    <cellStyle name="Percent 30" xfId="561"/>
    <cellStyle name="Percent 31" xfId="562"/>
    <cellStyle name="Percent 32" xfId="563"/>
    <cellStyle name="Percent 33" xfId="564"/>
    <cellStyle name="Percent 34" xfId="565"/>
    <cellStyle name="Percent 35" xfId="566"/>
    <cellStyle name="Percent 36" xfId="567"/>
    <cellStyle name="Percent 37" xfId="568"/>
    <cellStyle name="Percent 38" xfId="569"/>
    <cellStyle name="Percent 39" xfId="570"/>
    <cellStyle name="Percent 4" xfId="571"/>
    <cellStyle name="Percent 4 2" xfId="909"/>
    <cellStyle name="Percent 40" xfId="572"/>
    <cellStyle name="Percent 41" xfId="573"/>
    <cellStyle name="Percent 42" xfId="574"/>
    <cellStyle name="Percent 43" xfId="575"/>
    <cellStyle name="Percent 44" xfId="576"/>
    <cellStyle name="Percent 45" xfId="830"/>
    <cellStyle name="Percent 5" xfId="577"/>
    <cellStyle name="Percent 5 2" xfId="832"/>
    <cellStyle name="Percent 6" xfId="578"/>
    <cellStyle name="Percent 7" xfId="579"/>
    <cellStyle name="Percent 7 2" xfId="1433"/>
    <cellStyle name="Percent 8" xfId="580"/>
    <cellStyle name="Percent 8 3 3" xfId="218"/>
    <cellStyle name="Percent 9" xfId="581"/>
    <cellStyle name="PERCENTAGE" xfId="582"/>
    <cellStyle name="Pivot Style Medium 13" xfId="833"/>
    <cellStyle name="PrePop Currency (0)" xfId="219"/>
    <cellStyle name="PrePop Currency (0) 2" xfId="910"/>
    <cellStyle name="PrePop Currency (0) 3" xfId="583"/>
    <cellStyle name="PrePop Currency (2)" xfId="584"/>
    <cellStyle name="PrePop Units (0)" xfId="585"/>
    <cellStyle name="PrePop Units (1)" xfId="586"/>
    <cellStyle name="PrePop Units (2)" xfId="587"/>
    <cellStyle name="Product" xfId="220"/>
    <cellStyle name="PSChar" xfId="834"/>
    <cellStyle name="Reset  - Style4" xfId="588"/>
    <cellStyle name="Reset  - Style7" xfId="835"/>
    <cellStyle name="RevList" xfId="836"/>
    <cellStyle name="RevList 2" xfId="911"/>
    <cellStyle name="ri" xfId="837"/>
    <cellStyle name="SAPBEXstdItem" xfId="838"/>
    <cellStyle name="SAPBEXstdItem 2" xfId="1356"/>
    <cellStyle name="SAPBEXstdItem 3" xfId="1271"/>
    <cellStyle name="Standard_BINV" xfId="589"/>
    <cellStyle name="Style 1" xfId="20"/>
    <cellStyle name="Style 1 2" xfId="15"/>
    <cellStyle name="Style 1 2 10" xfId="1258"/>
    <cellStyle name="Style 1 2 10 2" xfId="1516"/>
    <cellStyle name="Style 1 2 2" xfId="221"/>
    <cellStyle name="Style 1 2 2 2" xfId="222"/>
    <cellStyle name="Style 1 2 2 2 2" xfId="1517"/>
    <cellStyle name="Style 1 2 3" xfId="223"/>
    <cellStyle name="Style 1 2 3 2" xfId="912"/>
    <cellStyle name="Style 1 2 3 2 2" xfId="1489"/>
    <cellStyle name="Style 1 3" xfId="224"/>
    <cellStyle name="Style 1 3 2" xfId="225"/>
    <cellStyle name="Style 1 3 3" xfId="1506"/>
    <cellStyle name="Style 1 4" xfId="590"/>
    <cellStyle name="Style 1 7" xfId="226"/>
    <cellStyle name="Style 1_ASMF Accounts - June 2011 (19.7.2011)" xfId="913"/>
    <cellStyle name="Style 2" xfId="839"/>
    <cellStyle name="sub" xfId="227"/>
    <cellStyle name="Sub-group Hdg" xfId="228"/>
    <cellStyle name="Sub-heading" xfId="229"/>
    <cellStyle name="Subtotal" xfId="840"/>
    <cellStyle name="Subtotal 2" xfId="914"/>
    <cellStyle name="Table  - Style5" xfId="591"/>
    <cellStyle name="Table  - Style5 2" xfId="592"/>
    <cellStyle name="Table  - Style5 2 2" xfId="1321"/>
    <cellStyle name="Table  - Style5 2 3" xfId="1379"/>
    <cellStyle name="Table  - Style5 2 4" xfId="1328"/>
    <cellStyle name="Table  - Style5 3" xfId="1320"/>
    <cellStyle name="Table  - Style5 4" xfId="1380"/>
    <cellStyle name="Table  - Style5 5" xfId="1329"/>
    <cellStyle name="Table  - Style6" xfId="841"/>
    <cellStyle name="Table  - Style6 2" xfId="1357"/>
    <cellStyle name="Table  - Style6 3" xfId="1376"/>
    <cellStyle name="Table  - Style6 4" xfId="1388"/>
    <cellStyle name="Temp" xfId="230"/>
    <cellStyle name="Temp 2" xfId="1366"/>
    <cellStyle name="Temp 3" xfId="1371"/>
    <cellStyle name="Text Indent A" xfId="231"/>
    <cellStyle name="Text Indent B" xfId="232"/>
    <cellStyle name="Text Indent B 2" xfId="915"/>
    <cellStyle name="Text Indent B 3" xfId="593"/>
    <cellStyle name="Text Indent C" xfId="594"/>
    <cellStyle name="Title  - Style1" xfId="843"/>
    <cellStyle name="Title  - Style6" xfId="596"/>
    <cellStyle name="Title 10" xfId="842"/>
    <cellStyle name="Title 11" xfId="595"/>
    <cellStyle name="Title 12" xfId="1322"/>
    <cellStyle name="Title 13" xfId="1341"/>
    <cellStyle name="Title 14" xfId="751"/>
    <cellStyle name="Title 2" xfId="597"/>
    <cellStyle name="Title 3" xfId="598"/>
    <cellStyle name="Title 4" xfId="599"/>
    <cellStyle name="Title 5" xfId="600"/>
    <cellStyle name="Title 6" xfId="601"/>
    <cellStyle name="Title 7" xfId="602"/>
    <cellStyle name="Title 8" xfId="603"/>
    <cellStyle name="Title 9" xfId="604"/>
    <cellStyle name="Titre Colonnes" xfId="605"/>
    <cellStyle name="Total 2" xfId="607"/>
    <cellStyle name="Total 2 2" xfId="1324"/>
    <cellStyle name="Total 2 3" xfId="1378"/>
    <cellStyle name="Total 3" xfId="845"/>
    <cellStyle name="Total 3 2" xfId="1359"/>
    <cellStyle name="Total 3 3" xfId="1363"/>
    <cellStyle name="Total 4" xfId="846"/>
    <cellStyle name="Total 4 2" xfId="1360"/>
    <cellStyle name="Total 4 3" xfId="1269"/>
    <cellStyle name="Total 5" xfId="844"/>
    <cellStyle name="Total 5 2" xfId="1358"/>
    <cellStyle name="Total 5 3" xfId="1270"/>
    <cellStyle name="Total 6" xfId="606"/>
    <cellStyle name="Total 7" xfId="1323"/>
    <cellStyle name="Total 8" xfId="1391"/>
    <cellStyle name="TotCol - Style5" xfId="847"/>
    <cellStyle name="TotCol - Style7" xfId="608"/>
    <cellStyle name="TotRow - Style4" xfId="848"/>
    <cellStyle name="TotRow - Style4 2" xfId="1361"/>
    <cellStyle name="TotRow - Style4 3" xfId="1268"/>
    <cellStyle name="TotRow - Style4 4" xfId="1375"/>
    <cellStyle name="TotRow - Style8" xfId="609"/>
    <cellStyle name="TotRow - Style8 2" xfId="610"/>
    <cellStyle name="TotRow - Style8 2 2" xfId="1326"/>
    <cellStyle name="TotRow - Style8 2 3" xfId="1300"/>
    <cellStyle name="TotRow - Style8 2 4" xfId="1330"/>
    <cellStyle name="TotRow - Style8 3" xfId="1325"/>
    <cellStyle name="TotRow - Style8 4" xfId="1389"/>
    <cellStyle name="TotRow - Style8 5" xfId="1309"/>
    <cellStyle name="Tusental (0)_pldt" xfId="849"/>
    <cellStyle name="Tusental_pldt" xfId="850"/>
    <cellStyle name="Value" xfId="851"/>
    <cellStyle name="Valuta (0)_pldt" xfId="852"/>
    <cellStyle name="Valuta_pldt" xfId="853"/>
    <cellStyle name="Währung [0]_BINV" xfId="611"/>
    <cellStyle name="Währung_BINV" xfId="612"/>
    <cellStyle name="Warning Text 2" xfId="614"/>
    <cellStyle name="Warning Text 3" xfId="854"/>
    <cellStyle name="Warning Text 4" xfId="855"/>
    <cellStyle name="Warning Text 5" xfId="613"/>
    <cellStyle name="桁区切り [0.00]_RESULTS" xfId="856"/>
    <cellStyle name="桁区切り_RESULTS" xfId="857"/>
    <cellStyle name="標準_RESULTS" xfId="858"/>
    <cellStyle name="通貨 [0.00]_RESULTS" xfId="859"/>
    <cellStyle name="通貨_RESULTS" xfId="86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33"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333375</xdr:colOff>
      <xdr:row>57</xdr:row>
      <xdr:rowOff>85725</xdr:rowOff>
    </xdr:from>
    <xdr:to>
      <xdr:col>9</xdr:col>
      <xdr:colOff>133350</xdr:colOff>
      <xdr:row>66</xdr:row>
      <xdr:rowOff>110068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3375" y="10401300"/>
          <a:ext cx="7181850" cy="15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____________________                                 _____________________                            __________________</a:t>
          </a: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33617</xdr:colOff>
      <xdr:row>28</xdr:row>
      <xdr:rowOff>134470</xdr:rowOff>
    </xdr:from>
    <xdr:to>
      <xdr:col>25</xdr:col>
      <xdr:colOff>228100</xdr:colOff>
      <xdr:row>28</xdr:row>
      <xdr:rowOff>137840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6235" y="3955676"/>
          <a:ext cx="9754961" cy="6401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96</xdr:row>
      <xdr:rowOff>0</xdr:rowOff>
    </xdr:from>
    <xdr:to>
      <xdr:col>20</xdr:col>
      <xdr:colOff>114300</xdr:colOff>
      <xdr:row>96</xdr:row>
      <xdr:rowOff>25908</xdr:rowOff>
    </xdr:to>
    <xdr:pic>
      <xdr:nvPicPr>
        <xdr:cNvPr id="2" name="Picture 1">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0" y="13001625"/>
          <a:ext cx="114300" cy="259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20</xdr:col>
      <xdr:colOff>0</xdr:colOff>
      <xdr:row>23</xdr:row>
      <xdr:rowOff>0</xdr:rowOff>
    </xdr:from>
    <xdr:ext cx="114300" cy="25908"/>
    <xdr:pic>
      <xdr:nvPicPr>
        <xdr:cNvPr id="3" name="Picture 1">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0" y="161925"/>
          <a:ext cx="114300" cy="259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oneCellAnchor>
    <xdr:from>
      <xdr:col>20</xdr:col>
      <xdr:colOff>0</xdr:colOff>
      <xdr:row>18</xdr:row>
      <xdr:rowOff>0</xdr:rowOff>
    </xdr:from>
    <xdr:ext cx="114300" cy="25908"/>
    <xdr:pic>
      <xdr:nvPicPr>
        <xdr:cNvPr id="4" name="Picture 3">
          <a:extLst>
            <a:ext uri="{FF2B5EF4-FFF2-40B4-BE49-F238E27FC236}">
              <a16:creationId xmlns:a16="http://schemas.microsoft.com/office/drawing/2014/main" id="{00000000-0008-0000-09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68350" y="14839950"/>
          <a:ext cx="114300" cy="259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17</xdr:col>
      <xdr:colOff>0</xdr:colOff>
      <xdr:row>42</xdr:row>
      <xdr:rowOff>0</xdr:rowOff>
    </xdr:from>
    <xdr:to>
      <xdr:col>17</xdr:col>
      <xdr:colOff>114300</xdr:colOff>
      <xdr:row>42</xdr:row>
      <xdr:rowOff>25908</xdr:rowOff>
    </xdr:to>
    <xdr:pic>
      <xdr:nvPicPr>
        <xdr:cNvPr id="20481" name="Picture 1">
          <a:extLst>
            <a:ext uri="{FF2B5EF4-FFF2-40B4-BE49-F238E27FC236}">
              <a16:creationId xmlns:a16="http://schemas.microsoft.com/office/drawing/2014/main" id="{00000000-0008-0000-0A00-0000015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0925" y="12077700"/>
          <a:ext cx="114300" cy="1143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17</xdr:col>
      <xdr:colOff>0</xdr:colOff>
      <xdr:row>0</xdr:row>
      <xdr:rowOff>0</xdr:rowOff>
    </xdr:from>
    <xdr:ext cx="114300" cy="25908"/>
    <xdr:pic>
      <xdr:nvPicPr>
        <xdr:cNvPr id="3" name="Picture 1">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6675" y="18583275"/>
          <a:ext cx="114300" cy="259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k-khifsr01\AuditB06\Accounts-kp\stand%20alone\2005\December%202005\Intialed%20Accounts%20from%20AFF\dom%20co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liental\MCBAH\Review%20December%202019\Soft%20Copies\PFPF%20-%20Draft%20FS%20June%2030,%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uhammad.saqib/AppData/Local/Microsoft/Windows/Temporary%20Internet%20Files/Content.Outlook/9XMYT7WI/Worksheet%20in%202234%20%20PSAF%20FS%20June%2030,%20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zashraf/Desktop/ALIMMF/Client%20DAta/Accounts/OLD/MCB%20PAKISTAN%20FREQUENT%20FUND%20dec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zashraf/Desktop/ALIMMF/Client%20DAta/Accounts/OLD/Pakistan%20Frequent%20Payout%20Fund%20Jun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NV-OTHER ASSETS "/>
      <sheetName val="BS-DOM"/>
      <sheetName val="BS-OVS"/>
      <sheetName val="BSCOMBINED "/>
      <sheetName val="#REF"/>
      <sheetName val="T-BILL"/>
      <sheetName val="I-BR"/>
      <sheetName val="List"/>
      <sheetName val="Sheet1"/>
      <sheetName val="AL905"/>
      <sheetName val="Abu Dhabi"/>
      <sheetName val="1-bwb(cb)"/>
      <sheetName val="INPUT"/>
      <sheetName val="29-30"/>
      <sheetName val="Lookups"/>
      <sheetName val="DD110"/>
      <sheetName val="FEb"/>
      <sheetName val="PARTWISE BREAKUP"/>
      <sheetName val="Sheet4"/>
      <sheetName val="Sheet2"/>
      <sheetName val="Lists"/>
      <sheetName val="Implied Rate"/>
      <sheetName val="A-C CODE &amp; NAME"/>
      <sheetName val="actual (2)"/>
      <sheetName val="I-B"/>
    </sheetNames>
    <sheetDataSet>
      <sheetData sheetId="0">
        <row r="140">
          <cell r="I140">
            <v>-9419269.4538429994</v>
          </cell>
        </row>
      </sheetData>
      <sheetData sheetId="1"/>
      <sheetData sheetId="2">
        <row r="140">
          <cell r="I140">
            <v>-9419269.4538429994</v>
          </cell>
        </row>
        <row r="177">
          <cell r="I177">
            <v>39476829171.10128</v>
          </cell>
        </row>
        <row r="182">
          <cell r="I182">
            <v>74718888.259252995</v>
          </cell>
        </row>
        <row r="193">
          <cell r="I193">
            <v>79956479.800536931</v>
          </cell>
        </row>
        <row r="196">
          <cell r="I196">
            <v>2633790152.157959</v>
          </cell>
        </row>
        <row r="197">
          <cell r="I197">
            <v>6599648252.119422</v>
          </cell>
        </row>
        <row r="198">
          <cell r="I198">
            <v>463566743.09803283</v>
          </cell>
        </row>
        <row r="199">
          <cell r="I199">
            <v>6367721.818</v>
          </cell>
        </row>
        <row r="200">
          <cell r="I200">
            <v>95192233.803413495</v>
          </cell>
        </row>
        <row r="201">
          <cell r="I201">
            <v>51267040.075999998</v>
          </cell>
        </row>
        <row r="207">
          <cell r="I207">
            <v>317107479.20281661</v>
          </cell>
        </row>
        <row r="209">
          <cell r="I209">
            <v>110807297.04154299</v>
          </cell>
        </row>
        <row r="214">
          <cell r="I214">
            <v>21149381.779200003</v>
          </cell>
        </row>
        <row r="215">
          <cell r="I215">
            <v>73022605.164682999</v>
          </cell>
        </row>
        <row r="216">
          <cell r="I216">
            <v>69670823.155003294</v>
          </cell>
        </row>
        <row r="225">
          <cell r="I225">
            <v>194377888288.28598</v>
          </cell>
        </row>
        <row r="227">
          <cell r="I227">
            <v>50072068724.377579</v>
          </cell>
        </row>
        <row r="233">
          <cell r="I233">
            <v>8162134108.7328329</v>
          </cell>
        </row>
        <row r="236">
          <cell r="I236">
            <v>6596108605.3126411</v>
          </cell>
        </row>
        <row r="239">
          <cell r="I239">
            <v>21721232244.269104</v>
          </cell>
        </row>
        <row r="240">
          <cell r="I240">
            <v>65740342829.488098</v>
          </cell>
        </row>
        <row r="241">
          <cell r="I241">
            <v>87461575073.757202</v>
          </cell>
        </row>
        <row r="242">
          <cell r="I242">
            <v>-21721232244.269104</v>
          </cell>
        </row>
        <row r="256">
          <cell r="I256">
            <v>573620076.34338379</v>
          </cell>
        </row>
        <row r="279">
          <cell r="I279">
            <v>609810626.86105835</v>
          </cell>
        </row>
        <row r="281">
          <cell r="I281">
            <v>629352970.96508241</v>
          </cell>
        </row>
        <row r="284">
          <cell r="I284">
            <v>135928861.80949962</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HF Working"/>
      <sheetName val="TB 2017"/>
      <sheetName val="TB 2018"/>
      <sheetName val="Lead"/>
      <sheetName val="SOAL"/>
      <sheetName val="IS"/>
      <sheetName val="SOCI"/>
      <sheetName val="UHF New"/>
      <sheetName val="Cashflow"/>
      <sheetName val="note 1-5"/>
      <sheetName val="note 5.1-5.5.1"/>
      <sheetName val="5.6-19.1.2"/>
      <sheetName val="17.1"/>
      <sheetName val="18."/>
      <sheetName val="19.1.2 contd"/>
      <sheetName val="20.1.3-20.3"/>
      <sheetName val="note 19-25"/>
      <sheetName val="Banks Rating"/>
      <sheetName val="Brokerage"/>
    </sheetNames>
    <sheetDataSet>
      <sheetData sheetId="0"/>
      <sheetData sheetId="1"/>
      <sheetData sheetId="2"/>
      <sheetData sheetId="3"/>
      <sheetData sheetId="4">
        <row r="11">
          <cell r="F11">
            <v>65469</v>
          </cell>
        </row>
      </sheetData>
      <sheetData sheetId="5">
        <row r="17">
          <cell r="F17">
            <v>34</v>
          </cell>
        </row>
      </sheetData>
      <sheetData sheetId="6"/>
      <sheetData sheetId="7"/>
      <sheetData sheetId="8"/>
      <sheetData sheetId="9">
        <row r="624">
          <cell r="A624" t="str">
            <v>5.</v>
          </cell>
        </row>
      </sheetData>
      <sheetData sheetId="10"/>
      <sheetData sheetId="11"/>
      <sheetData sheetId="12"/>
      <sheetData sheetId="13"/>
      <sheetData sheetId="14"/>
      <sheetData sheetId="15"/>
      <sheetData sheetId="16">
        <row r="124">
          <cell r="N124">
            <v>18680</v>
          </cell>
        </row>
      </sheetData>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CF"/>
      <sheetName val="DS"/>
      <sheetName val="UHF"/>
      <sheetName val="Notes 1-6"/>
      <sheetName val="6.1 - Equity HFT"/>
      <sheetName val="6.2 Tbills"/>
      <sheetName val="6.3 - Equity AFS"/>
      <sheetName val="Notes 6.3 - 24"/>
      <sheetName val="Lead"/>
      <sheetName val="CF Working"/>
      <sheetName val="form 7"/>
      <sheetName val="Links"/>
      <sheetName val="Tickmarks"/>
      <sheetName val="Sheet1"/>
      <sheetName val="Sheet2"/>
    </sheetNames>
    <sheetDataSet>
      <sheetData sheetId="0"/>
      <sheetData sheetId="1">
        <row r="26">
          <cell r="F26">
            <v>6947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UHF New"/>
      <sheetName val="MCB PFPF"/>
      <sheetName val="Cashflow"/>
      <sheetName val="Note 1-6"/>
      <sheetName val="note 6.1-6.3.1"/>
      <sheetName val="Note 6.5-12"/>
      <sheetName val="Note 13 - 13.1"/>
      <sheetName val="Note 13.2 - 13.3"/>
      <sheetName val="Note 14"/>
      <sheetName val="Note 15-16"/>
      <sheetName val="Lead"/>
      <sheetName val="Tickmarks1-22-2020 2.48.50 PM"/>
      <sheetName val="RNotes1-22-2020 2.48.50 PM"/>
      <sheetName val="TextXRef1-22-2020 2.48.50 PM"/>
      <sheetName val="NumXRef1-22-2020 2.48.50 P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HF Working"/>
      <sheetName val="TB 2017"/>
      <sheetName val="TB 2018"/>
      <sheetName val="Lead"/>
      <sheetName val="SOAL"/>
      <sheetName val="IS"/>
      <sheetName val="SOCI"/>
      <sheetName val="UHF New"/>
      <sheetName val="Cashflow"/>
      <sheetName val="note 1-5"/>
      <sheetName val="note 5.1-5.5.1"/>
      <sheetName val="5.6-19.1.2"/>
      <sheetName val="17.1"/>
      <sheetName val="18."/>
      <sheetName val="19.1.2 contd"/>
      <sheetName val="20.1.3-20.3"/>
      <sheetName val="note 19-29"/>
      <sheetName val="Banks Rating"/>
      <sheetName val="Brokerage 2020"/>
    </sheetNames>
    <sheetDataSet>
      <sheetData sheetId="0"/>
      <sheetData sheetId="1"/>
      <sheetData sheetId="2"/>
      <sheetData sheetId="3"/>
      <sheetData sheetId="4">
        <row r="32">
          <cell r="F32">
            <v>152343</v>
          </cell>
        </row>
        <row r="34">
          <cell r="F34">
            <v>152343</v>
          </cell>
          <cell r="H34">
            <v>253511</v>
          </cell>
        </row>
        <row r="40">
          <cell r="F40">
            <v>1530931.1276</v>
          </cell>
          <cell r="H40">
            <v>2482915.7642999999</v>
          </cell>
        </row>
        <row r="44">
          <cell r="F44">
            <v>99.51</v>
          </cell>
          <cell r="H44">
            <v>102.10209999999999</v>
          </cell>
        </row>
      </sheetData>
      <sheetData sheetId="5"/>
      <sheetData sheetId="6"/>
      <sheetData sheetId="7"/>
      <sheetData sheetId="8"/>
      <sheetData sheetId="9">
        <row r="499">
          <cell r="G499">
            <v>104843</v>
          </cell>
        </row>
      </sheetData>
      <sheetData sheetId="10"/>
      <sheetData sheetId="11"/>
      <sheetData sheetId="12"/>
      <sheetData sheetId="13">
        <row r="74">
          <cell r="G74">
            <v>0</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T58"/>
  <sheetViews>
    <sheetView showGridLines="0" tabSelected="1" view="pageBreakPreview" zoomScaleNormal="100" zoomScaleSheetLayoutView="100" workbookViewId="0">
      <selection activeCell="G9" sqref="G9"/>
    </sheetView>
  </sheetViews>
  <sheetFormatPr defaultColWidth="9.109375" defaultRowHeight="13.2"/>
  <cols>
    <col min="1" max="2" width="9.109375" style="46"/>
    <col min="3" max="3" width="18.109375" style="46" customWidth="1"/>
    <col min="4" max="4" width="16.44140625" style="46" customWidth="1"/>
    <col min="5" max="5" width="20.44140625" style="46" customWidth="1"/>
    <col min="6" max="6" width="11.5546875" style="46" customWidth="1"/>
    <col min="7" max="7" width="14.5546875" style="46" bestFit="1" customWidth="1"/>
    <col min="8" max="8" width="0.88671875" style="46" customWidth="1"/>
    <col min="9" max="9" width="12.5546875" style="46" customWidth="1"/>
    <col min="10" max="10" width="12.5546875" style="46" bestFit="1" customWidth="1"/>
    <col min="11" max="11" width="16.109375" style="46" customWidth="1"/>
    <col min="12" max="12" width="16.5546875" style="46" hidden="1" customWidth="1"/>
    <col min="13" max="13" width="14" style="46" hidden="1" customWidth="1"/>
    <col min="14" max="14" width="15" style="46" hidden="1" customWidth="1"/>
    <col min="15" max="15" width="17.44140625" style="46" hidden="1" customWidth="1"/>
    <col min="16" max="16" width="2.88671875" style="46" hidden="1" customWidth="1"/>
    <col min="17" max="17" width="3.44140625" style="46" customWidth="1"/>
    <col min="18" max="18" width="15.109375" style="46" bestFit="1" customWidth="1"/>
    <col min="19" max="19" width="15.5546875" style="47" bestFit="1" customWidth="1"/>
    <col min="20" max="16384" width="9.109375" style="46"/>
  </cols>
  <sheetData>
    <row r="1" spans="1:19" ht="20.399999999999999">
      <c r="A1" s="640" t="s">
        <v>337</v>
      </c>
      <c r="B1" s="45"/>
      <c r="C1" s="45"/>
      <c r="D1" s="45"/>
      <c r="E1" s="45"/>
      <c r="F1" s="45"/>
      <c r="G1" s="45"/>
      <c r="H1" s="45"/>
      <c r="I1" s="45"/>
      <c r="R1" s="39">
        <v>864973.97</v>
      </c>
    </row>
    <row r="2" spans="1:19" ht="17.399999999999999">
      <c r="A2" s="641" t="s">
        <v>322</v>
      </c>
      <c r="B2" s="45"/>
      <c r="C2" s="45"/>
      <c r="D2" s="45"/>
      <c r="E2" s="45"/>
      <c r="F2" s="45"/>
      <c r="G2" s="45"/>
      <c r="H2" s="45"/>
      <c r="I2" s="45"/>
      <c r="R2" s="46">
        <v>40348</v>
      </c>
    </row>
    <row r="3" spans="1:19">
      <c r="A3" s="642" t="s">
        <v>508</v>
      </c>
      <c r="B3" s="45"/>
      <c r="C3" s="45"/>
      <c r="D3" s="45"/>
      <c r="E3" s="45"/>
      <c r="F3" s="45"/>
      <c r="G3" s="45"/>
      <c r="H3" s="45"/>
      <c r="I3" s="45"/>
      <c r="R3" s="46">
        <v>100000</v>
      </c>
    </row>
    <row r="5" spans="1:19" ht="14.1" customHeight="1">
      <c r="A5" s="45"/>
      <c r="B5" s="45"/>
      <c r="C5" s="45"/>
      <c r="D5" s="45"/>
      <c r="E5" s="45"/>
      <c r="G5" s="48" t="s">
        <v>387</v>
      </c>
      <c r="H5" s="49"/>
      <c r="I5" s="50" t="s">
        <v>504</v>
      </c>
    </row>
    <row r="6" spans="1:19" ht="14.1" customHeight="1">
      <c r="A6" s="45"/>
      <c r="B6" s="45"/>
      <c r="C6" s="45"/>
      <c r="D6" s="45"/>
      <c r="E6" s="45"/>
      <c r="F6" s="44"/>
      <c r="G6" s="49">
        <v>2022</v>
      </c>
      <c r="H6" s="51"/>
      <c r="I6" s="52">
        <v>2021</v>
      </c>
    </row>
    <row r="7" spans="1:19" ht="14.1" customHeight="1">
      <c r="A7" s="53"/>
      <c r="B7" s="53"/>
      <c r="C7" s="53"/>
      <c r="D7" s="53"/>
      <c r="E7" s="53"/>
      <c r="F7" s="634" t="s">
        <v>1</v>
      </c>
      <c r="G7" s="54" t="s">
        <v>47</v>
      </c>
      <c r="H7" s="53"/>
      <c r="I7" s="53" t="s">
        <v>0</v>
      </c>
    </row>
    <row r="8" spans="1:19" ht="14.1" customHeight="1">
      <c r="A8" s="55"/>
      <c r="B8" s="55"/>
      <c r="C8" s="55"/>
      <c r="D8" s="55"/>
      <c r="E8" s="55"/>
      <c r="G8" s="1094" t="s">
        <v>64</v>
      </c>
      <c r="H8" s="1092"/>
      <c r="I8" s="1092"/>
    </row>
    <row r="9" spans="1:19" ht="14.1" customHeight="1">
      <c r="A9" s="56" t="s">
        <v>297</v>
      </c>
      <c r="B9" s="57"/>
      <c r="C9" s="57"/>
      <c r="D9" s="57"/>
      <c r="E9" s="57"/>
      <c r="F9" s="58"/>
      <c r="G9" s="59"/>
      <c r="H9" s="58"/>
      <c r="I9" s="58"/>
    </row>
    <row r="10" spans="1:19" ht="14.1" customHeight="1">
      <c r="A10" s="56"/>
      <c r="B10" s="57"/>
      <c r="C10" s="57"/>
      <c r="D10" s="57"/>
      <c r="E10" s="57"/>
      <c r="F10" s="58"/>
      <c r="G10" s="59"/>
      <c r="H10" s="58"/>
      <c r="I10" s="58"/>
    </row>
    <row r="11" spans="1:19" ht="14.1" customHeight="1">
      <c r="A11" s="60" t="s">
        <v>89</v>
      </c>
      <c r="B11" s="57"/>
      <c r="C11" s="57"/>
      <c r="D11" s="57"/>
      <c r="E11" s="57"/>
      <c r="F11" s="633" t="str">
        <f>LEFT('Notes 1-6'!A92)</f>
        <v>5</v>
      </c>
      <c r="G11" s="61">
        <f>ROUND('Notes 1-6'!H96,0)</f>
        <v>8405550</v>
      </c>
      <c r="H11" s="62"/>
      <c r="I11" s="63">
        <v>7092512</v>
      </c>
      <c r="K11" s="64">
        <f>G11-I11</f>
        <v>1313038</v>
      </c>
      <c r="R11" s="46">
        <v>3638805120.2000003</v>
      </c>
      <c r="S11" s="47">
        <v>118054812.87</v>
      </c>
    </row>
    <row r="12" spans="1:19" ht="14.1" customHeight="1">
      <c r="A12" s="57" t="s">
        <v>487</v>
      </c>
      <c r="B12" s="57"/>
      <c r="C12" s="57"/>
      <c r="D12" s="57"/>
      <c r="E12" s="57"/>
      <c r="F12" s="633" t="str">
        <f>LEFT('Notes 1-6'!A105)</f>
        <v>6</v>
      </c>
      <c r="G12" s="65">
        <f>'Notes 1-6'!H113</f>
        <v>1074650.919</v>
      </c>
      <c r="H12" s="62"/>
      <c r="I12" s="66">
        <v>8122692</v>
      </c>
      <c r="K12" s="64">
        <f>+G12-I12</f>
        <v>-7048041.0810000002</v>
      </c>
      <c r="L12" s="67"/>
      <c r="M12" s="67"/>
      <c r="R12" s="46">
        <v>458000000</v>
      </c>
      <c r="S12" s="47">
        <v>48792415</v>
      </c>
    </row>
    <row r="13" spans="1:19" ht="14.1" customHeight="1">
      <c r="A13" s="68" t="s">
        <v>513</v>
      </c>
      <c r="B13" s="57"/>
      <c r="C13" s="57"/>
      <c r="D13" s="57"/>
      <c r="E13" s="57"/>
      <c r="F13" s="69"/>
      <c r="G13" s="65">
        <f>TB!E32</f>
        <v>102387.90272</v>
      </c>
      <c r="H13" s="62" t="s">
        <v>3</v>
      </c>
      <c r="I13" s="66">
        <v>64162</v>
      </c>
      <c r="K13" s="64">
        <f t="shared" ref="K13:K15" si="0">+G13-I13</f>
        <v>38225.902719999998</v>
      </c>
      <c r="R13" s="46">
        <v>11478819.050000001</v>
      </c>
      <c r="S13" s="47">
        <f>ROUND(SUM(S11:S12)/1000,0)</f>
        <v>166847</v>
      </c>
    </row>
    <row r="14" spans="1:19" ht="14.1" customHeight="1">
      <c r="A14" s="68" t="s">
        <v>509</v>
      </c>
      <c r="B14" s="57"/>
      <c r="C14" s="57"/>
      <c r="D14" s="57"/>
      <c r="E14" s="57"/>
      <c r="F14" s="69"/>
      <c r="G14" s="65">
        <f>TB!E50</f>
        <v>1459.5025599999999</v>
      </c>
      <c r="H14" s="62"/>
      <c r="I14" s="66">
        <v>4214</v>
      </c>
      <c r="J14" s="65" t="e">
        <f>TB!#REF!+TB!#REF!+TB!#REF!+TB!H37+TB!H38+TB!H40+TB!H41+TB!H42+TB!H45+TB!H49</f>
        <v>#REF!</v>
      </c>
      <c r="K14" s="64">
        <f t="shared" si="0"/>
        <v>-2754.4974400000001</v>
      </c>
      <c r="R14" s="46">
        <v>1489972.99</v>
      </c>
    </row>
    <row r="15" spans="1:19" ht="14.1" customHeight="1">
      <c r="A15" s="57" t="s">
        <v>431</v>
      </c>
      <c r="B15" s="57"/>
      <c r="C15" s="57"/>
      <c r="D15" s="57"/>
      <c r="E15" s="57"/>
      <c r="F15" s="69"/>
      <c r="G15" s="65">
        <v>0</v>
      </c>
      <c r="H15" s="62"/>
      <c r="I15" s="66">
        <v>1844</v>
      </c>
      <c r="J15" s="70"/>
      <c r="K15" s="64">
        <f t="shared" si="0"/>
        <v>-1844</v>
      </c>
    </row>
    <row r="16" spans="1:19" ht="14.1" customHeight="1">
      <c r="A16" s="74" t="s">
        <v>4</v>
      </c>
      <c r="B16" s="57"/>
      <c r="C16" s="57"/>
      <c r="D16" s="57"/>
      <c r="E16" s="57"/>
      <c r="F16" s="59"/>
      <c r="G16" s="75">
        <f>SUM(G11:G15)</f>
        <v>9584048.3242800012</v>
      </c>
      <c r="H16" s="76"/>
      <c r="I16" s="77">
        <f>SUM(I11:I15)</f>
        <v>15285424</v>
      </c>
      <c r="K16" s="77">
        <f>SUM(K11:K14)</f>
        <v>-5699531.6757200006</v>
      </c>
      <c r="M16" s="78"/>
      <c r="N16" s="79"/>
      <c r="R16" s="46">
        <v>4112957532.6200004</v>
      </c>
      <c r="S16" s="47">
        <v>334851</v>
      </c>
    </row>
    <row r="17" spans="1:20" ht="14.1" customHeight="1">
      <c r="A17" s="57"/>
      <c r="B17" s="57"/>
      <c r="C17" s="57"/>
      <c r="D17" s="57"/>
      <c r="E17" s="57"/>
      <c r="F17" s="59"/>
      <c r="G17" s="80"/>
      <c r="H17" s="76"/>
      <c r="I17" s="76"/>
      <c r="M17" s="81"/>
      <c r="N17" s="81"/>
      <c r="S17" s="47">
        <f>S16-G16</f>
        <v>-9249197.3242800012</v>
      </c>
    </row>
    <row r="18" spans="1:20" ht="14.1" customHeight="1">
      <c r="A18" s="57"/>
      <c r="B18" s="57"/>
      <c r="C18" s="57"/>
      <c r="D18" s="57"/>
      <c r="E18" s="57"/>
      <c r="F18" s="59"/>
      <c r="G18" s="80"/>
      <c r="H18" s="76"/>
      <c r="I18" s="76"/>
      <c r="K18" s="82"/>
      <c r="M18" s="83"/>
    </row>
    <row r="19" spans="1:20" ht="14.1" customHeight="1">
      <c r="A19" s="56" t="s">
        <v>296</v>
      </c>
      <c r="B19" s="57"/>
      <c r="C19" s="57"/>
      <c r="D19" s="57"/>
      <c r="E19" s="57"/>
      <c r="F19" s="59"/>
      <c r="G19" s="80"/>
      <c r="H19" s="76"/>
      <c r="I19" s="76"/>
    </row>
    <row r="20" spans="1:20" ht="14.1" customHeight="1">
      <c r="A20" s="57"/>
      <c r="B20" s="57"/>
      <c r="C20" s="57"/>
      <c r="D20" s="57"/>
      <c r="E20" s="57"/>
      <c r="F20" s="59"/>
      <c r="G20" s="80"/>
      <c r="H20" s="76"/>
      <c r="I20" s="76"/>
    </row>
    <row r="21" spans="1:20" ht="14.1" customHeight="1">
      <c r="A21" s="84" t="s">
        <v>488</v>
      </c>
      <c r="B21" s="71"/>
      <c r="C21" s="71"/>
      <c r="D21" s="71"/>
      <c r="E21" s="57"/>
      <c r="F21" s="782">
        <f>'Notes 7-8'!A3</f>
        <v>7</v>
      </c>
      <c r="G21" s="783">
        <f>'Notes 7-8'!I17</f>
        <v>230.72777000000002</v>
      </c>
      <c r="H21" s="62"/>
      <c r="I21" s="63">
        <v>60</v>
      </c>
      <c r="K21" s="64">
        <f t="shared" ref="K21:K25" si="1">G21-I21</f>
        <v>170.72777000000002</v>
      </c>
      <c r="M21" s="82"/>
      <c r="R21" s="46">
        <v>253350.54000000004</v>
      </c>
      <c r="S21" s="47" t="e">
        <f>-#REF!</f>
        <v>#REF!</v>
      </c>
      <c r="T21" s="85" t="s">
        <v>97</v>
      </c>
    </row>
    <row r="22" spans="1:20" ht="14.1" customHeight="1">
      <c r="A22" s="84" t="s">
        <v>489</v>
      </c>
      <c r="B22" s="71"/>
      <c r="C22" s="71"/>
      <c r="D22" s="71"/>
      <c r="E22" s="57"/>
      <c r="F22" s="782"/>
      <c r="G22" s="65">
        <v>0</v>
      </c>
      <c r="H22" s="62"/>
      <c r="I22" s="66">
        <v>818</v>
      </c>
      <c r="K22" s="64">
        <f t="shared" si="1"/>
        <v>-818</v>
      </c>
      <c r="M22" s="83"/>
      <c r="N22" s="67"/>
      <c r="O22" s="83"/>
      <c r="R22" s="46">
        <v>2052</v>
      </c>
      <c r="T22" s="85" t="s">
        <v>98</v>
      </c>
    </row>
    <row r="23" spans="1:20" ht="14.1" customHeight="1">
      <c r="A23" s="86" t="s">
        <v>5</v>
      </c>
      <c r="B23" s="71"/>
      <c r="C23" s="71"/>
      <c r="D23" s="71"/>
      <c r="E23" s="57"/>
      <c r="F23" s="782"/>
      <c r="G23" s="87">
        <f>TB!D70</f>
        <v>2175.0050000000001</v>
      </c>
      <c r="H23" s="62" t="s">
        <v>3</v>
      </c>
      <c r="I23" s="66">
        <v>1211</v>
      </c>
      <c r="K23" s="64">
        <f t="shared" si="1"/>
        <v>964.00500000000011</v>
      </c>
      <c r="R23" s="46">
        <v>7332</v>
      </c>
      <c r="S23" s="47" t="e">
        <f>+S21-S22</f>
        <v>#REF!</v>
      </c>
      <c r="T23" s="85" t="s">
        <v>99</v>
      </c>
    </row>
    <row r="24" spans="1:20" ht="14.1" customHeight="1">
      <c r="A24" s="60" t="s">
        <v>490</v>
      </c>
      <c r="B24" s="71"/>
      <c r="C24" s="71"/>
      <c r="D24" s="71"/>
      <c r="E24" s="57"/>
      <c r="F24" s="69"/>
      <c r="G24" s="65">
        <f>TB!D71</f>
        <v>6587.0569000000005</v>
      </c>
      <c r="H24" s="62"/>
      <c r="I24" s="66">
        <v>5033</v>
      </c>
      <c r="K24" s="64">
        <f>G24-I24+1</f>
        <v>1555.0569000000005</v>
      </c>
      <c r="M24" s="67"/>
      <c r="N24" s="67"/>
      <c r="O24" s="81"/>
      <c r="P24" s="81"/>
      <c r="Q24" s="81"/>
      <c r="R24" s="46">
        <v>1201407.6100000001</v>
      </c>
    </row>
    <row r="25" spans="1:20" ht="14.1" customHeight="1">
      <c r="A25" s="60" t="s">
        <v>6</v>
      </c>
      <c r="B25" s="57"/>
      <c r="C25" s="57"/>
      <c r="D25" s="57"/>
      <c r="E25" s="57"/>
      <c r="F25" s="782">
        <f>'Notes 7-8'!$A$27</f>
        <v>8</v>
      </c>
      <c r="G25" s="72">
        <f>TB!E81</f>
        <v>9397.4493399999974</v>
      </c>
      <c r="H25" s="62" t="s">
        <v>3</v>
      </c>
      <c r="I25" s="73">
        <v>20672</v>
      </c>
      <c r="K25" s="64">
        <f t="shared" si="1"/>
        <v>-11274.550660000003</v>
      </c>
      <c r="N25" s="82"/>
      <c r="O25" s="81"/>
      <c r="P25" s="88"/>
      <c r="Q25" s="81"/>
      <c r="R25" s="46">
        <v>8687803.8300000001</v>
      </c>
    </row>
    <row r="26" spans="1:20" ht="14.1" customHeight="1">
      <c r="A26" s="74" t="s">
        <v>7</v>
      </c>
      <c r="B26" s="57"/>
      <c r="C26" s="57"/>
      <c r="D26" s="57"/>
      <c r="E26" s="57"/>
      <c r="F26" s="59"/>
      <c r="G26" s="80">
        <f>SUM(G21:G25)</f>
        <v>18390.239009999998</v>
      </c>
      <c r="H26" s="76"/>
      <c r="I26" s="76">
        <f>SUM(I21:I25)</f>
        <v>27794</v>
      </c>
      <c r="K26" s="77">
        <f>SUM(K21:K25)</f>
        <v>-9402.7609900000025</v>
      </c>
      <c r="M26" s="82"/>
      <c r="O26" s="81"/>
      <c r="P26" s="88"/>
      <c r="Q26" s="81"/>
      <c r="R26" s="46">
        <v>10151945.98</v>
      </c>
      <c r="S26" s="47">
        <v>10084</v>
      </c>
    </row>
    <row r="27" spans="1:20" ht="14.1" customHeight="1">
      <c r="A27" s="57"/>
      <c r="B27" s="57"/>
      <c r="C27" s="57"/>
      <c r="D27" s="57"/>
      <c r="E27" s="57"/>
      <c r="F27" s="59"/>
      <c r="G27" s="80"/>
      <c r="H27" s="76"/>
      <c r="I27" s="76"/>
      <c r="M27" s="67"/>
      <c r="N27" s="83"/>
      <c r="O27" s="81"/>
      <c r="P27" s="89"/>
      <c r="Q27" s="81"/>
      <c r="S27" s="47">
        <f>G26-S26</f>
        <v>8306.2390099999975</v>
      </c>
    </row>
    <row r="28" spans="1:20" ht="14.1" customHeight="1">
      <c r="A28" s="74" t="s">
        <v>46</v>
      </c>
      <c r="B28" s="57"/>
      <c r="C28" s="57"/>
      <c r="D28" s="57"/>
      <c r="E28" s="57"/>
      <c r="F28" s="633">
        <f>('Notes 9-13'!A6)</f>
        <v>10</v>
      </c>
      <c r="G28" s="62"/>
      <c r="H28" s="58"/>
      <c r="I28" s="90"/>
      <c r="O28" s="46" t="s">
        <v>9</v>
      </c>
      <c r="P28" s="91" t="e">
        <f>SUM(#REF!)</f>
        <v>#REF!</v>
      </c>
      <c r="R28" s="46">
        <v>0</v>
      </c>
    </row>
    <row r="29" spans="1:20" ht="14.1" customHeight="1">
      <c r="A29" s="57"/>
      <c r="B29" s="57"/>
      <c r="C29" s="57"/>
      <c r="D29" s="57"/>
      <c r="E29" s="57"/>
      <c r="F29" s="59"/>
      <c r="G29" s="80"/>
      <c r="H29" s="76"/>
      <c r="I29" s="76"/>
      <c r="O29" s="81"/>
      <c r="P29" s="81"/>
      <c r="Q29" s="81"/>
    </row>
    <row r="30" spans="1:20" s="58" customFormat="1" ht="14.1" customHeight="1" thickBot="1">
      <c r="A30" s="74" t="s">
        <v>8</v>
      </c>
      <c r="B30" s="57"/>
      <c r="C30" s="57"/>
      <c r="D30" s="57"/>
      <c r="E30" s="57"/>
      <c r="F30" s="59"/>
      <c r="G30" s="92">
        <f>ROUND(+G16-G26,0)</f>
        <v>9565658</v>
      </c>
      <c r="H30" s="76"/>
      <c r="I30" s="93">
        <f>+I16-I26</f>
        <v>15257630</v>
      </c>
      <c r="K30" s="94">
        <f>SUM(G21:G25)</f>
        <v>18390.239009999998</v>
      </c>
      <c r="M30" s="95"/>
      <c r="O30" s="96"/>
      <c r="P30" s="96"/>
      <c r="Q30" s="96"/>
      <c r="R30" s="58">
        <v>4102805586.6400003</v>
      </c>
      <c r="S30" s="97"/>
    </row>
    <row r="31" spans="1:20" ht="14.1" customHeight="1" thickTop="1">
      <c r="A31" s="74"/>
      <c r="B31" s="57"/>
      <c r="C31" s="57"/>
      <c r="D31" s="57"/>
      <c r="E31" s="57"/>
      <c r="F31" s="59"/>
      <c r="G31" s="75"/>
      <c r="H31" s="76"/>
      <c r="I31" s="77"/>
      <c r="K31" s="82">
        <f>G30*0.01</f>
        <v>95656.58</v>
      </c>
      <c r="L31" s="98"/>
      <c r="O31" s="81"/>
      <c r="P31" s="99"/>
      <c r="Q31" s="81"/>
      <c r="S31" s="47">
        <f>2.5/R30</f>
        <v>6.093391332362349E-10</v>
      </c>
    </row>
    <row r="32" spans="1:20" ht="14.1" customHeight="1" thickBot="1">
      <c r="A32" s="797" t="s">
        <v>491</v>
      </c>
      <c r="B32" s="57"/>
      <c r="C32" s="57"/>
      <c r="D32" s="57"/>
      <c r="E32" s="57"/>
      <c r="F32" s="59"/>
      <c r="G32" s="798">
        <f>'UHF New'!H30</f>
        <v>9565658.2502700053</v>
      </c>
      <c r="H32" s="62"/>
      <c r="I32" s="799">
        <v>15257630</v>
      </c>
      <c r="J32" s="786">
        <v>152343</v>
      </c>
      <c r="K32" s="82">
        <f>G32-G30</f>
        <v>0.25027000531554222</v>
      </c>
      <c r="O32" s="81"/>
      <c r="P32" s="81"/>
      <c r="Q32" s="81"/>
      <c r="R32" s="46">
        <v>21851594.350000001</v>
      </c>
      <c r="S32" s="82">
        <f>G32*0.5%</f>
        <v>47828.291251350027</v>
      </c>
    </row>
    <row r="33" spans="1:19" ht="14.1" customHeight="1" thickTop="1">
      <c r="A33" s="74"/>
      <c r="B33" s="57"/>
      <c r="C33" s="57"/>
      <c r="D33" s="57"/>
      <c r="E33" s="57"/>
      <c r="F33" s="100"/>
      <c r="G33" s="62"/>
      <c r="H33" s="58"/>
      <c r="I33" s="58"/>
      <c r="K33" s="82">
        <f>G30-G32</f>
        <v>-0.25027000531554222</v>
      </c>
      <c r="L33" s="101"/>
      <c r="S33" s="491">
        <f>S32*50%</f>
        <v>23914.145625675013</v>
      </c>
    </row>
    <row r="34" spans="1:19" ht="14.1" customHeight="1">
      <c r="A34" s="74"/>
      <c r="B34" s="57"/>
      <c r="C34" s="57"/>
      <c r="D34" s="57"/>
      <c r="E34" s="57"/>
      <c r="F34" s="100"/>
      <c r="G34" s="1094" t="s">
        <v>352</v>
      </c>
      <c r="H34" s="1092"/>
      <c r="I34" s="1092"/>
      <c r="K34" s="82"/>
      <c r="L34" s="101"/>
      <c r="S34" s="491"/>
    </row>
    <row r="35" spans="1:19" ht="14.1" customHeight="1">
      <c r="A35" s="57"/>
      <c r="B35" s="57"/>
      <c r="C35" s="57"/>
      <c r="D35" s="57"/>
      <c r="E35" s="57"/>
      <c r="F35" s="96"/>
      <c r="G35" s="102"/>
      <c r="H35" s="103"/>
      <c r="I35" s="103"/>
      <c r="S35" s="47">
        <f>G16*0.5%</f>
        <v>47920.241621400004</v>
      </c>
    </row>
    <row r="36" spans="1:19" ht="14.1" customHeight="1" thickBot="1">
      <c r="A36" s="74" t="s">
        <v>295</v>
      </c>
      <c r="B36" s="57"/>
      <c r="C36" s="57"/>
      <c r="D36" s="57"/>
      <c r="E36" s="57"/>
      <c r="F36" s="104"/>
      <c r="G36" s="105">
        <v>96127599.498600006</v>
      </c>
      <c r="H36" s="106"/>
      <c r="I36" s="107">
        <v>153327608</v>
      </c>
      <c r="J36" s="47">
        <f>(I36*I40)/1000</f>
        <v>15257630.27208</v>
      </c>
      <c r="R36" s="108">
        <v>179026401</v>
      </c>
    </row>
    <row r="37" spans="1:19" ht="14.1" customHeight="1" thickTop="1" thickBot="1">
      <c r="A37" s="57"/>
      <c r="B37" s="57"/>
      <c r="C37" s="57"/>
      <c r="D37" s="57"/>
      <c r="E37" s="57"/>
      <c r="F37" s="59"/>
      <c r="G37" s="76"/>
      <c r="H37" s="58"/>
      <c r="I37" s="58"/>
      <c r="K37" s="109">
        <v>57375678.579899989</v>
      </c>
      <c r="M37" s="70"/>
    </row>
    <row r="38" spans="1:19" ht="14.1" customHeight="1" thickTop="1">
      <c r="A38" s="110"/>
      <c r="B38" s="57"/>
      <c r="C38" s="57"/>
      <c r="D38" s="57"/>
      <c r="E38" s="57"/>
      <c r="F38" s="59"/>
      <c r="G38" s="1094" t="s">
        <v>10</v>
      </c>
      <c r="H38" s="1092"/>
      <c r="I38" s="1092"/>
      <c r="K38" s="82"/>
      <c r="M38" s="70">
        <f>L40-M40</f>
        <v>0</v>
      </c>
      <c r="N38" s="98">
        <f>M38*G36</f>
        <v>0</v>
      </c>
      <c r="O38" s="70">
        <f>N38/1000</f>
        <v>0</v>
      </c>
      <c r="R38" s="111">
        <f>R36/G36</f>
        <v>1.8623829361577611</v>
      </c>
    </row>
    <row r="39" spans="1:19" ht="14.1" customHeight="1">
      <c r="A39" s="110"/>
      <c r="B39" s="57"/>
      <c r="C39" s="57"/>
      <c r="D39" s="57"/>
      <c r="E39" s="57"/>
      <c r="F39" s="59"/>
      <c r="G39" s="761"/>
      <c r="H39" s="760"/>
      <c r="I39" s="760"/>
      <c r="K39" s="82"/>
      <c r="M39" s="70"/>
      <c r="N39" s="98"/>
      <c r="O39" s="70"/>
      <c r="R39" s="111"/>
    </row>
    <row r="40" spans="1:19" ht="14.1" customHeight="1" thickBot="1">
      <c r="A40" s="74" t="s">
        <v>294</v>
      </c>
      <c r="B40" s="57"/>
      <c r="C40" s="57"/>
      <c r="D40" s="57"/>
      <c r="E40" s="57"/>
      <c r="F40" s="59"/>
      <c r="G40" s="823">
        <f>+ROUND(G30/(G36/10)*100,2)</f>
        <v>99.51</v>
      </c>
      <c r="H40" s="112"/>
      <c r="I40" s="113">
        <v>99.51</v>
      </c>
      <c r="J40" s="114">
        <f>+G30/G36*100</f>
        <v>9.9510005970130511</v>
      </c>
      <c r="K40" s="111"/>
      <c r="L40" s="70">
        <f>G40-50</f>
        <v>49.510000000000005</v>
      </c>
      <c r="M40" s="70">
        <f>I40-50</f>
        <v>49.510000000000005</v>
      </c>
      <c r="N40" s="98">
        <f>M40*K37</f>
        <v>2840669846.4908485</v>
      </c>
      <c r="O40" s="70">
        <f>N40/1000</f>
        <v>2840669.8464908483</v>
      </c>
    </row>
    <row r="41" spans="1:19" ht="14.1" customHeight="1" thickTop="1">
      <c r="A41" s="115"/>
      <c r="B41" s="115"/>
      <c r="C41" s="55"/>
      <c r="D41" s="55"/>
      <c r="E41" s="55"/>
      <c r="F41" s="116"/>
      <c r="G41" s="117"/>
      <c r="H41" s="71"/>
      <c r="I41" s="117"/>
      <c r="K41" s="118"/>
      <c r="L41" s="70"/>
      <c r="M41" s="70"/>
    </row>
    <row r="42" spans="1:19" ht="14.1" customHeight="1">
      <c r="A42" s="55"/>
      <c r="B42" s="55"/>
      <c r="C42" s="55"/>
      <c r="D42" s="55"/>
      <c r="E42" s="55"/>
      <c r="F42" s="71"/>
      <c r="G42" s="98"/>
      <c r="H42" s="71"/>
      <c r="I42" s="71"/>
      <c r="K42" s="70"/>
      <c r="L42" s="70">
        <f t="shared" ref="L42:P42" si="2">H36/1000</f>
        <v>0</v>
      </c>
      <c r="M42" s="70">
        <f t="shared" si="2"/>
        <v>153327.60800000001</v>
      </c>
      <c r="N42" s="70">
        <f t="shared" si="2"/>
        <v>15257.630272080001</v>
      </c>
      <c r="O42" s="70">
        <f t="shared" si="2"/>
        <v>0</v>
      </c>
      <c r="P42" s="70">
        <f t="shared" si="2"/>
        <v>0</v>
      </c>
      <c r="Q42" s="70"/>
      <c r="R42" s="70">
        <f>I36/1000</f>
        <v>153327.60800000001</v>
      </c>
      <c r="S42" s="70"/>
    </row>
    <row r="43" spans="1:19" ht="14.1" customHeight="1">
      <c r="A43" s="55" t="s">
        <v>531</v>
      </c>
      <c r="B43" s="55"/>
      <c r="C43" s="55"/>
      <c r="D43" s="55"/>
      <c r="E43" s="55"/>
      <c r="F43" s="71"/>
      <c r="G43" s="98"/>
      <c r="H43" s="71"/>
      <c r="I43" s="98"/>
      <c r="K43" s="98"/>
      <c r="L43" s="98"/>
      <c r="M43" s="98"/>
      <c r="N43" s="98"/>
      <c r="O43" s="98"/>
      <c r="P43" s="98"/>
      <c r="Q43" s="98"/>
      <c r="R43" s="98"/>
      <c r="S43" s="98"/>
    </row>
    <row r="44" spans="1:19" ht="14.1" customHeight="1">
      <c r="A44" s="55"/>
      <c r="B44" s="55"/>
      <c r="C44" s="55"/>
      <c r="D44" s="55"/>
      <c r="E44" s="55"/>
      <c r="F44" s="71"/>
      <c r="G44" s="98"/>
      <c r="H44" s="71"/>
      <c r="I44" s="98"/>
      <c r="K44" s="98"/>
      <c r="L44" s="98"/>
      <c r="M44" s="98"/>
      <c r="N44" s="98"/>
      <c r="O44" s="98"/>
      <c r="P44" s="98"/>
      <c r="Q44" s="98"/>
      <c r="R44" s="98"/>
      <c r="S44" s="98"/>
    </row>
    <row r="45" spans="1:19" ht="14.1" customHeight="1">
      <c r="A45" s="55"/>
      <c r="B45" s="55"/>
      <c r="C45" s="55"/>
      <c r="D45" s="55"/>
      <c r="E45" s="55"/>
      <c r="F45" s="71"/>
      <c r="G45" s="98"/>
      <c r="H45" s="71"/>
      <c r="I45" s="98"/>
      <c r="K45" s="98"/>
      <c r="L45" s="98"/>
      <c r="M45" s="98"/>
      <c r="N45" s="98"/>
      <c r="O45" s="98"/>
      <c r="P45" s="98"/>
      <c r="Q45" s="98"/>
      <c r="R45" s="98"/>
      <c r="S45" s="98"/>
    </row>
    <row r="46" spans="1:19" ht="14.1" customHeight="1">
      <c r="A46" s="1095" t="s">
        <v>338</v>
      </c>
      <c r="B46" s="1095"/>
      <c r="C46" s="1095"/>
      <c r="D46" s="1095"/>
      <c r="E46" s="1095"/>
      <c r="F46" s="1095"/>
      <c r="G46" s="1095"/>
      <c r="H46" s="1095"/>
      <c r="I46" s="1095"/>
      <c r="K46" s="98"/>
      <c r="L46" s="98"/>
      <c r="M46" s="98"/>
      <c r="N46" s="98"/>
      <c r="O46" s="98"/>
      <c r="P46" s="98"/>
      <c r="Q46" s="98"/>
      <c r="R46" s="98"/>
      <c r="S46" s="98"/>
    </row>
    <row r="47" spans="1:19" ht="14.1" customHeight="1">
      <c r="A47" s="1095" t="s">
        <v>339</v>
      </c>
      <c r="B47" s="1095"/>
      <c r="C47" s="1095"/>
      <c r="D47" s="1095"/>
      <c r="E47" s="1095"/>
      <c r="F47" s="1095"/>
      <c r="G47" s="1095"/>
      <c r="H47" s="1095"/>
      <c r="I47" s="1095"/>
      <c r="K47" s="98"/>
      <c r="L47" s="98"/>
      <c r="M47" s="98"/>
      <c r="N47" s="98"/>
      <c r="O47" s="98"/>
      <c r="P47" s="98"/>
      <c r="Q47" s="98"/>
      <c r="R47" s="98"/>
      <c r="S47" s="98"/>
    </row>
    <row r="48" spans="1:19" ht="14.1" customHeight="1">
      <c r="A48" s="55"/>
      <c r="B48" s="55"/>
      <c r="C48" s="55"/>
      <c r="D48" s="55"/>
      <c r="E48" s="55"/>
      <c r="F48" s="71"/>
      <c r="G48" s="98"/>
      <c r="H48" s="71"/>
      <c r="I48" s="98"/>
      <c r="K48" s="98"/>
      <c r="L48" s="98"/>
      <c r="M48" s="98"/>
      <c r="N48" s="98"/>
      <c r="O48" s="98"/>
      <c r="P48" s="98"/>
      <c r="Q48" s="98"/>
      <c r="R48" s="98"/>
      <c r="S48" s="98"/>
    </row>
    <row r="49" spans="1:19" ht="14.1" customHeight="1">
      <c r="A49" s="55"/>
      <c r="B49" s="55"/>
      <c r="C49" s="55"/>
      <c r="D49" s="55"/>
      <c r="E49" s="55"/>
      <c r="F49" s="71"/>
      <c r="G49" s="98"/>
      <c r="H49" s="71"/>
      <c r="I49" s="71"/>
      <c r="K49" s="119"/>
      <c r="L49" s="119" t="e">
        <f>H32/L42</f>
        <v>#DIV/0!</v>
      </c>
      <c r="M49" s="119">
        <f>I32/M42</f>
        <v>99.509998225498961</v>
      </c>
      <c r="N49" s="119">
        <f>J32/N42</f>
        <v>9.9847091116615321</v>
      </c>
      <c r="O49" s="119" t="e">
        <f>S32/O42</f>
        <v>#DIV/0!</v>
      </c>
      <c r="P49" s="119" t="e">
        <f>L32/P42</f>
        <v>#DIV/0!</v>
      </c>
      <c r="Q49" s="119"/>
      <c r="R49" s="119">
        <f>I32/R42</f>
        <v>99.509998225498961</v>
      </c>
      <c r="S49" s="119"/>
    </row>
    <row r="50" spans="1:19" ht="14.1" customHeight="1">
      <c r="A50" s="55"/>
      <c r="B50" s="55"/>
      <c r="C50" s="55"/>
      <c r="D50" s="55"/>
      <c r="E50" s="55"/>
      <c r="F50" s="71"/>
      <c r="G50" s="98"/>
      <c r="H50" s="71"/>
      <c r="I50" s="71"/>
      <c r="K50" s="98"/>
    </row>
    <row r="51" spans="1:19" ht="14.1" customHeight="1">
      <c r="A51" s="120"/>
      <c r="B51" s="120"/>
      <c r="C51" s="120"/>
      <c r="D51" s="120"/>
      <c r="E51" s="120"/>
      <c r="F51" s="120"/>
      <c r="G51" s="120"/>
      <c r="H51" s="120"/>
      <c r="I51" s="120"/>
      <c r="K51" s="70"/>
      <c r="L51" s="82"/>
      <c r="M51" s="82"/>
    </row>
    <row r="52" spans="1:19" ht="14.1" customHeight="1">
      <c r="A52" s="120"/>
      <c r="B52" s="121"/>
      <c r="C52" s="121"/>
      <c r="D52" s="121"/>
      <c r="E52" s="122"/>
      <c r="F52" s="121"/>
      <c r="G52" s="121"/>
      <c r="H52" s="121"/>
      <c r="I52" s="58"/>
    </row>
    <row r="53" spans="1:19" ht="14.1" customHeight="1">
      <c r="A53" s="120"/>
      <c r="B53" s="121"/>
      <c r="C53" s="121"/>
      <c r="D53" s="121"/>
      <c r="E53" s="122"/>
      <c r="F53" s="121"/>
      <c r="G53" s="121"/>
      <c r="H53" s="121"/>
      <c r="I53" s="58"/>
    </row>
    <row r="54" spans="1:19" ht="14.1" customHeight="1">
      <c r="J54" s="123"/>
      <c r="K54" s="123"/>
      <c r="L54" s="123"/>
    </row>
    <row r="55" spans="1:19" ht="14.1" customHeight="1">
      <c r="A55" s="1093" t="s">
        <v>340</v>
      </c>
      <c r="B55" s="1093"/>
      <c r="C55" s="1093"/>
      <c r="D55" s="1096" t="s">
        <v>344</v>
      </c>
      <c r="E55" s="1096"/>
      <c r="F55" s="125"/>
      <c r="G55" s="125"/>
      <c r="H55" s="671" t="s">
        <v>342</v>
      </c>
      <c r="I55" s="125"/>
      <c r="J55" s="125"/>
      <c r="K55" s="125"/>
      <c r="L55" s="126"/>
    </row>
    <row r="56" spans="1:19" ht="14.1" customHeight="1">
      <c r="A56" s="1092" t="s">
        <v>345</v>
      </c>
      <c r="B56" s="1092"/>
      <c r="C56" s="1092"/>
      <c r="D56" s="1092" t="s">
        <v>341</v>
      </c>
      <c r="E56" s="1092"/>
      <c r="H56" s="647" t="s">
        <v>343</v>
      </c>
    </row>
    <row r="57" spans="1:19">
      <c r="G57" s="127">
        <f>G32</f>
        <v>9565658.2502700053</v>
      </c>
    </row>
    <row r="58" spans="1:19">
      <c r="G58" s="492">
        <f>G57-G30</f>
        <v>0.25027000531554222</v>
      </c>
    </row>
  </sheetData>
  <mergeCells count="9">
    <mergeCell ref="D56:E56"/>
    <mergeCell ref="A55:C55"/>
    <mergeCell ref="A56:C56"/>
    <mergeCell ref="G8:I8"/>
    <mergeCell ref="A46:I46"/>
    <mergeCell ref="A47:I47"/>
    <mergeCell ref="D55:E55"/>
    <mergeCell ref="G34:I34"/>
    <mergeCell ref="G38:I38"/>
  </mergeCells>
  <pageMargins left="0.75" right="0.5" top="0.75" bottom="0.5" header="0.4" footer="0.2"/>
  <pageSetup paperSize="9" scale="7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AG62"/>
  <sheetViews>
    <sheetView showGridLines="0" view="pageBreakPreview" topLeftCell="A40" zoomScaleNormal="115" zoomScaleSheetLayoutView="100" workbookViewId="0">
      <selection activeCell="B67" sqref="B67"/>
    </sheetView>
  </sheetViews>
  <sheetFormatPr defaultColWidth="9.109375" defaultRowHeight="13.2"/>
  <cols>
    <col min="1" max="1" width="5.5546875" style="46" customWidth="1"/>
    <col min="2" max="3" width="9.109375" style="46"/>
    <col min="4" max="4" width="13.109375" style="46" customWidth="1"/>
    <col min="5" max="5" width="14.5546875" style="46" customWidth="1"/>
    <col min="6" max="6" width="14" style="46" customWidth="1"/>
    <col min="7" max="7" width="9.88671875" style="46" customWidth="1"/>
    <col min="8" max="8" width="15.109375" style="46" customWidth="1"/>
    <col min="9" max="9" width="12.109375" style="46" customWidth="1"/>
    <col min="10" max="10" width="1.109375" style="46" customWidth="1"/>
    <col min="11" max="11" width="12.109375" style="46" customWidth="1"/>
    <col min="12" max="12" width="1.5546875" style="46" customWidth="1"/>
    <col min="13" max="13" width="14" style="46" bestFit="1" customWidth="1"/>
    <col min="14" max="14" width="10.44140625" style="71" customWidth="1"/>
    <col min="15" max="15" width="14.88671875" style="71" customWidth="1"/>
    <col min="16" max="16" width="15" style="71" customWidth="1"/>
    <col min="17" max="17" width="14.109375" style="71" customWidth="1"/>
    <col min="18" max="18" width="26.109375" style="71" customWidth="1"/>
    <col min="19" max="19" width="14.109375" style="71" customWidth="1"/>
    <col min="20" max="20" width="16.88671875" style="71" customWidth="1"/>
    <col min="21" max="21" width="9.44140625" style="71" customWidth="1"/>
    <col min="22" max="22" width="9.44140625" style="71" bestFit="1" customWidth="1"/>
    <col min="23" max="23" width="12.88671875" style="71" bestFit="1" customWidth="1"/>
    <col min="24" max="27" width="9.109375" style="71"/>
    <col min="28" max="16384" width="9.109375" style="46"/>
  </cols>
  <sheetData>
    <row r="1" spans="1:33" s="268" customFormat="1" ht="14.1" customHeight="1">
      <c r="A1" s="266"/>
      <c r="B1" s="267"/>
      <c r="K1" s="269"/>
      <c r="L1" s="269"/>
      <c r="M1" s="269"/>
      <c r="N1" s="270"/>
      <c r="O1" s="270"/>
      <c r="P1" s="271"/>
      <c r="Q1" s="272"/>
      <c r="AG1" s="269"/>
    </row>
    <row r="2" spans="1:33" ht="14.1" customHeight="1">
      <c r="H2" s="634"/>
      <c r="I2" s="48" t="s">
        <v>527</v>
      </c>
      <c r="K2" s="209" t="s">
        <v>528</v>
      </c>
      <c r="L2" s="209"/>
      <c r="M2" s="209"/>
    </row>
    <row r="3" spans="1:33" ht="14.1" customHeight="1">
      <c r="A3" s="288">
        <f>+'Notes 1-6'!A105+1</f>
        <v>7</v>
      </c>
      <c r="B3" s="1180" t="str">
        <f>UPPER(BS!A21)</f>
        <v>PAYABLE TO MANAGEMENT COMPANY</v>
      </c>
      <c r="C3" s="1180"/>
      <c r="D3" s="1180"/>
      <c r="E3" s="1180"/>
      <c r="F3" s="1180"/>
      <c r="G3" s="1180"/>
      <c r="H3" s="634" t="s">
        <v>1</v>
      </c>
      <c r="I3" s="49">
        <v>2022</v>
      </c>
      <c r="K3" s="52">
        <v>2021</v>
      </c>
      <c r="L3" s="52"/>
      <c r="M3" s="52"/>
    </row>
    <row r="4" spans="1:33" ht="14.1" hidden="1" customHeight="1">
      <c r="A4" s="212"/>
      <c r="B4" s="1180"/>
      <c r="C4" s="1180"/>
      <c r="D4" s="1180"/>
      <c r="E4" s="1180"/>
      <c r="F4" s="1180"/>
      <c r="G4" s="1180"/>
    </row>
    <row r="5" spans="1:33" ht="14.1" hidden="1" customHeight="1">
      <c r="B5" s="1180"/>
      <c r="C5" s="1180"/>
      <c r="D5" s="1180"/>
      <c r="E5" s="1180"/>
      <c r="F5" s="1180"/>
      <c r="G5" s="1180"/>
    </row>
    <row r="6" spans="1:33" ht="14.1" hidden="1" customHeight="1">
      <c r="B6" s="1180"/>
      <c r="C6" s="1180"/>
      <c r="D6" s="1180"/>
      <c r="E6" s="1180"/>
      <c r="F6" s="1180"/>
      <c r="G6" s="1180"/>
    </row>
    <row r="7" spans="1:33" s="501" customFormat="1" ht="14.1" hidden="1" customHeight="1">
      <c r="A7" s="210"/>
      <c r="B7" s="1180"/>
      <c r="C7" s="1180"/>
      <c r="D7" s="1180"/>
      <c r="E7" s="1180"/>
      <c r="F7" s="1180"/>
      <c r="G7" s="1180"/>
      <c r="H7" s="46"/>
      <c r="I7" s="46"/>
      <c r="J7" s="46"/>
      <c r="K7" s="46"/>
      <c r="L7" s="46"/>
      <c r="M7" s="46"/>
      <c r="N7" s="211"/>
      <c r="O7" s="211"/>
      <c r="P7" s="211"/>
      <c r="Q7" s="211"/>
      <c r="R7" s="211"/>
      <c r="S7" s="211"/>
      <c r="T7" s="211"/>
      <c r="U7" s="211"/>
      <c r="V7" s="211"/>
      <c r="W7" s="211"/>
      <c r="X7" s="211"/>
      <c r="Y7" s="500"/>
      <c r="Z7" s="500"/>
      <c r="AA7" s="500"/>
    </row>
    <row r="8" spans="1:33" s="501" customFormat="1" ht="14.1" hidden="1" customHeight="1">
      <c r="A8" s="212"/>
      <c r="B8" s="1180"/>
      <c r="C8" s="1180"/>
      <c r="D8" s="1180"/>
      <c r="E8" s="1180"/>
      <c r="F8" s="1180"/>
      <c r="G8" s="1180"/>
      <c r="H8" s="46"/>
      <c r="I8" s="46"/>
      <c r="J8" s="46"/>
      <c r="K8" s="46"/>
      <c r="L8" s="46"/>
      <c r="M8" s="46"/>
      <c r="N8" s="211"/>
      <c r="O8" s="211"/>
      <c r="P8" s="211"/>
      <c r="Q8" s="211"/>
      <c r="R8" s="211"/>
      <c r="S8" s="211"/>
      <c r="T8" s="211"/>
      <c r="U8" s="211"/>
      <c r="V8" s="211"/>
      <c r="W8" s="211"/>
      <c r="X8" s="211"/>
      <c r="Y8" s="500"/>
      <c r="Z8" s="500"/>
      <c r="AA8" s="500"/>
    </row>
    <row r="9" spans="1:33" s="501" customFormat="1" ht="14.1" hidden="1" customHeight="1">
      <c r="A9" s="212"/>
      <c r="B9" s="1180"/>
      <c r="C9" s="1180"/>
      <c r="D9" s="1180"/>
      <c r="E9" s="1180"/>
      <c r="F9" s="1180"/>
      <c r="G9" s="1180"/>
      <c r="H9" s="46"/>
      <c r="I9" s="46"/>
      <c r="J9" s="46"/>
      <c r="K9" s="46"/>
      <c r="L9" s="46"/>
      <c r="M9" s="46"/>
      <c r="N9" s="211"/>
      <c r="O9" s="211"/>
      <c r="P9" s="211"/>
      <c r="Q9" s="211"/>
      <c r="R9" s="211"/>
      <c r="S9" s="211"/>
      <c r="T9" s="211"/>
      <c r="U9" s="211"/>
      <c r="V9" s="211"/>
      <c r="W9" s="211"/>
      <c r="X9" s="211"/>
      <c r="Y9" s="500"/>
      <c r="Z9" s="500"/>
      <c r="AA9" s="500"/>
    </row>
    <row r="10" spans="1:33" ht="14.1" customHeight="1">
      <c r="B10" s="1180"/>
      <c r="C10" s="1180"/>
      <c r="D10" s="1180"/>
      <c r="E10" s="1180"/>
      <c r="F10" s="1180"/>
      <c r="G10" s="1180"/>
      <c r="I10" s="649" t="s">
        <v>47</v>
      </c>
      <c r="K10" s="213" t="s">
        <v>0</v>
      </c>
      <c r="L10" s="213"/>
      <c r="M10" s="213"/>
    </row>
    <row r="11" spans="1:33" s="501" customFormat="1" ht="14.1" customHeight="1">
      <c r="A11" s="46"/>
      <c r="B11" s="46"/>
      <c r="C11" s="46"/>
      <c r="D11" s="46"/>
      <c r="E11" s="46"/>
      <c r="F11" s="46"/>
      <c r="G11" s="46"/>
      <c r="H11" s="46"/>
      <c r="I11" s="1174" t="s">
        <v>65</v>
      </c>
      <c r="J11" s="1174"/>
      <c r="K11" s="1174"/>
      <c r="L11" s="656"/>
      <c r="M11" s="656"/>
      <c r="N11" s="211"/>
      <c r="O11" s="211"/>
      <c r="P11" s="211"/>
      <c r="Q11" s="211"/>
      <c r="R11" s="211"/>
      <c r="S11" s="211"/>
      <c r="T11" s="211"/>
      <c r="U11" s="211"/>
      <c r="V11" s="211"/>
      <c r="W11" s="211"/>
      <c r="X11" s="500"/>
      <c r="Y11" s="500"/>
      <c r="Z11" s="500"/>
      <c r="AA11" s="500"/>
    </row>
    <row r="12" spans="1:33" s="501" customFormat="1" ht="14.1" customHeight="1">
      <c r="A12" s="46"/>
      <c r="B12" s="46"/>
      <c r="C12" s="46"/>
      <c r="D12" s="46"/>
      <c r="E12" s="46"/>
      <c r="F12" s="46"/>
      <c r="G12" s="46"/>
      <c r="H12" s="46"/>
      <c r="I12" s="502"/>
      <c r="J12" s="503"/>
      <c r="K12" s="214"/>
      <c r="L12" s="214"/>
      <c r="M12" s="214"/>
      <c r="N12" s="211"/>
      <c r="O12" s="211">
        <v>-1</v>
      </c>
      <c r="P12" s="211"/>
      <c r="Q12" s="211"/>
      <c r="R12" s="211"/>
      <c r="S12" s="211"/>
      <c r="T12" s="211"/>
      <c r="U12" s="211"/>
      <c r="V12" s="211"/>
      <c r="W12" s="211"/>
      <c r="X12" s="500"/>
      <c r="Y12" s="500"/>
      <c r="Z12" s="500"/>
      <c r="AA12" s="500"/>
    </row>
    <row r="13" spans="1:33" s="501" customFormat="1" ht="14.1" customHeight="1">
      <c r="A13" s="46"/>
      <c r="B13" s="46"/>
      <c r="C13" s="46"/>
      <c r="D13" s="46"/>
      <c r="E13" s="46"/>
      <c r="F13" s="46"/>
      <c r="G13" s="46"/>
      <c r="H13" s="46"/>
      <c r="I13" s="502"/>
      <c r="J13" s="503"/>
      <c r="K13" s="214"/>
      <c r="L13" s="214"/>
      <c r="M13" s="214"/>
      <c r="N13" s="211"/>
      <c r="O13" s="211"/>
      <c r="P13" s="211"/>
      <c r="Q13" s="211"/>
      <c r="R13" s="211"/>
      <c r="S13" s="211"/>
      <c r="T13" s="211"/>
      <c r="U13" s="211"/>
      <c r="V13" s="211"/>
      <c r="W13" s="211"/>
      <c r="X13" s="500"/>
      <c r="Y13" s="500"/>
      <c r="Z13" s="500"/>
      <c r="AA13" s="500"/>
    </row>
    <row r="14" spans="1:33" s="501" customFormat="1" ht="14.1" customHeight="1">
      <c r="A14" s="212"/>
      <c r="B14" s="215" t="s">
        <v>86</v>
      </c>
      <c r="C14" s="221"/>
      <c r="D14" s="221"/>
      <c r="E14" s="221"/>
      <c r="F14" s="221"/>
      <c r="G14" s="221"/>
      <c r="H14" s="769"/>
      <c r="I14" s="217">
        <f>TB!D62</f>
        <v>149.22720000000001</v>
      </c>
      <c r="J14" s="502"/>
      <c r="K14" s="218">
        <v>0</v>
      </c>
      <c r="L14" s="218"/>
      <c r="M14" s="218"/>
      <c r="N14" s="211"/>
      <c r="O14" s="211"/>
      <c r="P14" s="211"/>
      <c r="Q14" s="211"/>
      <c r="R14" s="211"/>
      <c r="S14" s="211"/>
      <c r="T14" s="211"/>
      <c r="U14" s="211"/>
      <c r="V14" s="211"/>
      <c r="W14" s="211"/>
      <c r="X14" s="211"/>
      <c r="Y14" s="500"/>
      <c r="Z14" s="500"/>
      <c r="AA14" s="500"/>
    </row>
    <row r="15" spans="1:33" s="505" customFormat="1" ht="14.1" customHeight="1">
      <c r="A15" s="212"/>
      <c r="B15" s="219" t="s">
        <v>292</v>
      </c>
      <c r="C15" s="221"/>
      <c r="D15" s="221"/>
      <c r="E15" s="221"/>
      <c r="F15" s="221"/>
      <c r="G15" s="221"/>
      <c r="H15" s="633"/>
      <c r="I15" s="217">
        <f>TB!D64</f>
        <v>21.50057</v>
      </c>
      <c r="J15" s="502"/>
      <c r="K15" s="220">
        <v>0</v>
      </c>
      <c r="L15" s="220"/>
      <c r="M15" s="220"/>
      <c r="N15" s="211"/>
      <c r="O15" s="211"/>
      <c r="P15" s="211"/>
      <c r="Q15" s="211"/>
      <c r="R15" s="211"/>
      <c r="S15" s="211"/>
      <c r="T15" s="211"/>
      <c r="U15" s="211"/>
      <c r="V15" s="211"/>
      <c r="W15" s="211"/>
      <c r="X15" s="211"/>
      <c r="Y15" s="504"/>
      <c r="Z15" s="504"/>
      <c r="AA15" s="504"/>
    </row>
    <row r="16" spans="1:33" s="501" customFormat="1" ht="14.1" customHeight="1">
      <c r="A16" s="212"/>
      <c r="B16" s="215" t="s">
        <v>397</v>
      </c>
      <c r="C16" s="221"/>
      <c r="D16" s="221"/>
      <c r="E16" s="221"/>
      <c r="F16" s="221"/>
      <c r="G16" s="216"/>
      <c r="H16" s="769"/>
      <c r="I16" s="217">
        <f>TB!D83</f>
        <v>60</v>
      </c>
      <c r="J16" s="502"/>
      <c r="K16" s="218">
        <v>60</v>
      </c>
      <c r="L16" s="218"/>
      <c r="M16" s="218"/>
      <c r="N16" s="211"/>
      <c r="O16" s="211"/>
      <c r="P16" s="211"/>
      <c r="Q16" s="211"/>
      <c r="R16" s="211"/>
      <c r="S16" s="211"/>
      <c r="T16" s="211"/>
      <c r="U16" s="211"/>
      <c r="V16" s="211"/>
      <c r="W16" s="211"/>
      <c r="X16" s="211"/>
      <c r="Y16" s="500"/>
      <c r="Z16" s="500"/>
      <c r="AA16" s="500"/>
    </row>
    <row r="17" spans="1:27" s="501" customFormat="1" ht="14.1" customHeight="1" thickBot="1">
      <c r="A17" s="212"/>
      <c r="B17" s="221"/>
      <c r="C17" s="221"/>
      <c r="D17" s="221"/>
      <c r="E17" s="221"/>
      <c r="F17" s="221"/>
      <c r="G17" s="506"/>
      <c r="H17" s="216"/>
      <c r="I17" s="222">
        <f>SUM(I14:I16)</f>
        <v>230.72777000000002</v>
      </c>
      <c r="J17" s="502"/>
      <c r="K17" s="223">
        <f>SUM(K14:K16)</f>
        <v>60</v>
      </c>
      <c r="L17" s="725"/>
      <c r="M17" s="725"/>
      <c r="N17" s="224"/>
      <c r="O17" s="211"/>
      <c r="P17" s="211"/>
      <c r="Q17" s="211"/>
      <c r="R17" s="211"/>
      <c r="S17" s="211"/>
      <c r="T17" s="211"/>
      <c r="U17" s="211"/>
      <c r="V17" s="211"/>
      <c r="W17" s="211"/>
      <c r="X17" s="211"/>
      <c r="Y17" s="500"/>
      <c r="Z17" s="500"/>
      <c r="AA17" s="500"/>
    </row>
    <row r="18" spans="1:27" s="501" customFormat="1" ht="14.1" customHeight="1" thickTop="1">
      <c r="A18" s="212"/>
      <c r="B18" s="214"/>
      <c r="C18" s="214"/>
      <c r="D18" s="214"/>
      <c r="E18" s="214"/>
      <c r="F18" s="214"/>
      <c r="G18" s="214"/>
      <c r="H18" s="214"/>
      <c r="I18" s="214"/>
      <c r="J18" s="214"/>
      <c r="K18" s="214"/>
      <c r="L18" s="214"/>
      <c r="M18" s="214"/>
      <c r="N18" s="211"/>
      <c r="O18" s="211"/>
      <c r="P18" s="211"/>
      <c r="Q18" s="211"/>
      <c r="R18" s="211"/>
      <c r="S18" s="211"/>
      <c r="T18" s="211"/>
      <c r="U18" s="211"/>
      <c r="V18" s="211"/>
      <c r="W18" s="211"/>
      <c r="X18" s="211"/>
      <c r="Y18" s="500"/>
      <c r="Z18" s="500"/>
      <c r="AA18" s="500"/>
    </row>
    <row r="19" spans="1:27" s="226" customFormat="1" hidden="1">
      <c r="A19" s="225">
        <f>A3+0.1</f>
        <v>7.1</v>
      </c>
      <c r="B19" s="1175" t="s">
        <v>317</v>
      </c>
      <c r="C19" s="1175"/>
      <c r="D19" s="1175"/>
      <c r="E19" s="1175"/>
      <c r="F19" s="1175"/>
      <c r="G19" s="1175"/>
      <c r="H19" s="1175"/>
      <c r="I19" s="1175"/>
      <c r="J19" s="1175"/>
      <c r="K19" s="1175"/>
      <c r="L19" s="661"/>
      <c r="M19" s="661"/>
      <c r="P19" s="507">
        <v>2600000</v>
      </c>
    </row>
    <row r="20" spans="1:27" s="226" customFormat="1" hidden="1">
      <c r="A20" s="225"/>
      <c r="B20" s="1175"/>
      <c r="C20" s="1175"/>
      <c r="D20" s="1175"/>
      <c r="E20" s="1175"/>
      <c r="F20" s="1175"/>
      <c r="G20" s="1175"/>
      <c r="H20" s="1175"/>
      <c r="I20" s="1175"/>
      <c r="J20" s="1175"/>
      <c r="K20" s="1175"/>
      <c r="L20" s="661"/>
      <c r="M20" s="661"/>
      <c r="P20" s="507">
        <v>2600</v>
      </c>
    </row>
    <row r="21" spans="1:27" s="226" customFormat="1" ht="11.25" hidden="1" customHeight="1">
      <c r="B21" s="1175"/>
      <c r="C21" s="1175"/>
      <c r="D21" s="1175"/>
      <c r="E21" s="1175"/>
      <c r="F21" s="1175"/>
      <c r="G21" s="1175"/>
      <c r="H21" s="1175"/>
      <c r="I21" s="1175"/>
      <c r="J21" s="1175"/>
      <c r="K21" s="1175"/>
      <c r="L21" s="661"/>
      <c r="M21" s="661"/>
      <c r="P21" s="507">
        <v>-2600</v>
      </c>
    </row>
    <row r="22" spans="1:27" s="226" customFormat="1" hidden="1">
      <c r="B22" s="662"/>
      <c r="C22" s="662"/>
      <c r="D22" s="662"/>
      <c r="E22" s="662"/>
      <c r="F22" s="662"/>
      <c r="G22" s="662"/>
      <c r="H22" s="662"/>
      <c r="I22" s="662"/>
      <c r="J22" s="662"/>
      <c r="K22" s="662"/>
      <c r="L22" s="662"/>
      <c r="M22" s="662"/>
      <c r="P22" s="507">
        <v>347</v>
      </c>
    </row>
    <row r="23" spans="1:27" s="226" customFormat="1" hidden="1">
      <c r="A23" s="225">
        <f>A19+0.1</f>
        <v>7.1999999999999993</v>
      </c>
      <c r="B23" s="1176" t="s">
        <v>318</v>
      </c>
      <c r="C23" s="1176"/>
      <c r="D23" s="1176"/>
      <c r="E23" s="1176"/>
      <c r="F23" s="1176"/>
      <c r="G23" s="1176"/>
      <c r="H23" s="1176"/>
      <c r="I23" s="1176"/>
      <c r="J23" s="1176"/>
      <c r="K23" s="1176"/>
      <c r="L23" s="662"/>
      <c r="M23" s="662"/>
      <c r="P23" s="507">
        <v>-2947</v>
      </c>
    </row>
    <row r="24" spans="1:27" s="226" customFormat="1" ht="11.25" hidden="1" customHeight="1">
      <c r="B24" s="662"/>
      <c r="C24" s="662"/>
      <c r="D24" s="662"/>
      <c r="E24" s="662"/>
      <c r="F24" s="662"/>
      <c r="G24" s="662"/>
      <c r="H24" s="662"/>
      <c r="I24" s="662"/>
      <c r="J24" s="662"/>
      <c r="K24" s="662"/>
      <c r="L24" s="662"/>
      <c r="M24" s="662"/>
    </row>
    <row r="25" spans="1:27" ht="14.1" customHeight="1">
      <c r="B25" s="766"/>
      <c r="C25" s="766"/>
      <c r="D25" s="766"/>
      <c r="E25" s="766"/>
      <c r="F25" s="766"/>
      <c r="G25" s="766"/>
      <c r="H25" s="766"/>
      <c r="I25" s="766"/>
      <c r="J25" s="766"/>
      <c r="K25" s="766"/>
      <c r="L25" s="766"/>
      <c r="M25" s="766"/>
    </row>
    <row r="26" spans="1:27" s="129" customFormat="1">
      <c r="H26" s="232"/>
      <c r="I26" s="876" t="str">
        <f>I2</f>
        <v xml:space="preserve">March 31 </v>
      </c>
      <c r="J26" s="233"/>
      <c r="K26" s="1048" t="str">
        <f>+K2</f>
        <v xml:space="preserve">June 30 </v>
      </c>
      <c r="L26" s="233"/>
      <c r="M26" s="233"/>
      <c r="R26" s="234" t="s">
        <v>54</v>
      </c>
      <c r="S26" s="234" t="s">
        <v>55</v>
      </c>
      <c r="T26" s="234" t="s">
        <v>56</v>
      </c>
      <c r="U26" s="234" t="s">
        <v>58</v>
      </c>
      <c r="V26" s="234" t="s">
        <v>57</v>
      </c>
      <c r="W26" s="234" t="s">
        <v>59</v>
      </c>
    </row>
    <row r="27" spans="1:27" s="129" customFormat="1" ht="14.1" customHeight="1">
      <c r="A27" s="288">
        <f>A3+1</f>
        <v>8</v>
      </c>
      <c r="B27" s="235" t="s">
        <v>176</v>
      </c>
      <c r="H27" s="634" t="s">
        <v>1</v>
      </c>
      <c r="I27" s="236">
        <f>I3</f>
        <v>2022</v>
      </c>
      <c r="J27" s="236"/>
      <c r="K27" s="727">
        <f>K3</f>
        <v>2021</v>
      </c>
      <c r="L27" s="236"/>
      <c r="M27" s="236"/>
      <c r="R27" s="237">
        <f>[4]BS!G62</f>
        <v>0</v>
      </c>
      <c r="S27" s="238">
        <f>'[4]Note 6.5-12'!I80</f>
        <v>0</v>
      </c>
      <c r="T27" s="238">
        <f>R27+S27</f>
        <v>0</v>
      </c>
      <c r="U27" s="239" t="e">
        <f>T27/[4]BS!G72*1000</f>
        <v>#DIV/0!</v>
      </c>
      <c r="V27" s="239">
        <f>[4]BS!G76</f>
        <v>0</v>
      </c>
      <c r="W27" s="239" t="e">
        <f>U27-V27</f>
        <v>#DIV/0!</v>
      </c>
    </row>
    <row r="28" spans="1:27" s="501" customFormat="1" ht="14.1" customHeight="1">
      <c r="A28" s="228"/>
      <c r="B28" s="229"/>
      <c r="C28" s="229"/>
      <c r="D28" s="229"/>
      <c r="E28" s="229"/>
      <c r="F28" s="229"/>
      <c r="G28" s="229"/>
      <c r="H28" s="508"/>
      <c r="I28" s="230" t="s">
        <v>47</v>
      </c>
      <c r="J28" s="230"/>
      <c r="K28" s="728" t="s">
        <v>0</v>
      </c>
      <c r="L28" s="230"/>
      <c r="M28" s="230"/>
      <c r="N28" s="231"/>
      <c r="O28" s="231"/>
      <c r="P28" s="231"/>
      <c r="Q28" s="231"/>
      <c r="R28" s="231"/>
      <c r="S28" s="231"/>
      <c r="T28" s="231"/>
      <c r="U28" s="231"/>
      <c r="V28" s="231"/>
      <c r="W28" s="231"/>
      <c r="X28" s="231"/>
    </row>
    <row r="29" spans="1:27" s="129" customFormat="1" ht="14.1" customHeight="1">
      <c r="B29" s="240"/>
      <c r="H29" s="241"/>
      <c r="I29" s="1174" t="s">
        <v>65</v>
      </c>
      <c r="J29" s="1174"/>
      <c r="K29" s="1174"/>
      <c r="L29" s="656"/>
      <c r="M29" s="656"/>
      <c r="R29" s="242"/>
      <c r="S29" s="242"/>
      <c r="T29" s="242"/>
      <c r="U29" s="242"/>
      <c r="V29" s="242"/>
      <c r="W29" s="242"/>
    </row>
    <row r="30" spans="1:27" s="129" customFormat="1" ht="14.1" customHeight="1">
      <c r="B30" s="240"/>
      <c r="H30" s="241"/>
      <c r="I30" s="243"/>
      <c r="J30" s="243"/>
      <c r="K30" s="243"/>
      <c r="L30" s="243"/>
      <c r="M30" s="243"/>
      <c r="N30" s="129">
        <v>1000</v>
      </c>
      <c r="R30" s="244" t="e">
        <f>S27/R27</f>
        <v>#DIV/0!</v>
      </c>
      <c r="S30" s="242"/>
      <c r="T30" s="242"/>
      <c r="U30" s="242"/>
      <c r="V30" s="242"/>
      <c r="W30" s="242"/>
    </row>
    <row r="31" spans="1:27" s="129" customFormat="1" ht="14.1" customHeight="1">
      <c r="B31" s="240" t="s">
        <v>66</v>
      </c>
      <c r="H31" s="633">
        <f>'Notes 7-8'!A41</f>
        <v>8.1</v>
      </c>
      <c r="I31" s="167">
        <v>0</v>
      </c>
      <c r="J31" s="242"/>
      <c r="K31" s="245">
        <v>10909</v>
      </c>
      <c r="L31" s="245"/>
      <c r="M31" s="245"/>
      <c r="N31" s="246">
        <f>I31-K31</f>
        <v>-10909</v>
      </c>
      <c r="R31" s="247" t="e">
        <f>R30*V27</f>
        <v>#DIV/0!</v>
      </c>
      <c r="S31" s="242"/>
      <c r="T31" s="242"/>
      <c r="U31" s="242"/>
      <c r="V31" s="242"/>
      <c r="W31" s="242"/>
    </row>
    <row r="32" spans="1:27" s="129" customFormat="1" ht="14.1" customHeight="1">
      <c r="B32" s="240" t="s">
        <v>354</v>
      </c>
      <c r="H32" s="633">
        <f>'Notes 7-8'!$A$54</f>
        <v>8.1999999999999993</v>
      </c>
      <c r="I32" s="248"/>
      <c r="R32" s="249"/>
      <c r="T32" s="250"/>
      <c r="U32" s="1177"/>
      <c r="V32" s="1173"/>
      <c r="W32" s="1173"/>
    </row>
    <row r="33" spans="1:27" s="129" customFormat="1" ht="14.1" customHeight="1">
      <c r="B33" s="251" t="s">
        <v>43</v>
      </c>
      <c r="I33" s="167">
        <f>TB!D65</f>
        <v>838.63871999999992</v>
      </c>
      <c r="J33" s="242"/>
      <c r="K33" s="245">
        <v>841</v>
      </c>
      <c r="L33" s="245"/>
      <c r="M33" s="245"/>
      <c r="O33" s="246" t="e">
        <f>I35+I36+#REF!+I38</f>
        <v>#REF!</v>
      </c>
      <c r="R33" s="249"/>
      <c r="U33" s="1177"/>
      <c r="V33" s="1173"/>
      <c r="W33" s="1173"/>
    </row>
    <row r="34" spans="1:27" s="129" customFormat="1" ht="14.1" customHeight="1">
      <c r="B34" s="251" t="s">
        <v>355</v>
      </c>
      <c r="I34" s="167">
        <f>+TB!D67</f>
        <v>3624.6189699999995</v>
      </c>
      <c r="J34" s="242"/>
      <c r="K34" s="245">
        <v>3625</v>
      </c>
      <c r="L34" s="245"/>
      <c r="M34" s="245"/>
      <c r="R34" s="234" t="s">
        <v>54</v>
      </c>
      <c r="S34" s="234" t="s">
        <v>60</v>
      </c>
      <c r="T34" s="234" t="s">
        <v>56</v>
      </c>
      <c r="U34" s="234" t="s">
        <v>58</v>
      </c>
      <c r="V34" s="234" t="s">
        <v>57</v>
      </c>
      <c r="W34" s="234" t="s">
        <v>59</v>
      </c>
    </row>
    <row r="35" spans="1:27" s="129" customFormat="1" ht="14.1" customHeight="1">
      <c r="B35" s="240" t="s">
        <v>51</v>
      </c>
      <c r="I35" s="248">
        <f>TB!D72</f>
        <v>18.002929999999999</v>
      </c>
      <c r="J35" s="242"/>
      <c r="K35" s="252">
        <v>18</v>
      </c>
      <c r="L35" s="252"/>
      <c r="M35" s="252"/>
      <c r="R35" s="237">
        <f>[4]BS!G62</f>
        <v>0</v>
      </c>
      <c r="S35" s="238">
        <f>I33</f>
        <v>838.63871999999992</v>
      </c>
      <c r="T35" s="238">
        <f>R35+S35</f>
        <v>838.63871999999992</v>
      </c>
      <c r="U35" s="239" t="e">
        <f>T35/[4]BS!G72*1000</f>
        <v>#DIV/0!</v>
      </c>
      <c r="V35" s="239">
        <f>[4]BS!G76</f>
        <v>0</v>
      </c>
      <c r="W35" s="239" t="e">
        <f>U35-V35</f>
        <v>#DIV/0!</v>
      </c>
    </row>
    <row r="36" spans="1:27" s="129" customFormat="1" ht="14.1" customHeight="1">
      <c r="B36" s="240" t="s">
        <v>17</v>
      </c>
      <c r="I36" s="248">
        <f>+TB!D74</f>
        <v>278.90161999999998</v>
      </c>
      <c r="J36" s="242"/>
      <c r="K36" s="252">
        <v>386</v>
      </c>
      <c r="L36" s="252"/>
      <c r="M36" s="252"/>
      <c r="R36" s="129">
        <f>[4]BS!I64</f>
        <v>0</v>
      </c>
      <c r="S36" s="246">
        <f>S35</f>
        <v>838.63871999999992</v>
      </c>
      <c r="T36" s="238">
        <f>R36+S36</f>
        <v>838.63871999999992</v>
      </c>
      <c r="U36" s="253" t="e">
        <f>T36*1000/[4]BS!I72</f>
        <v>#DIV/0!</v>
      </c>
      <c r="V36" s="129">
        <f>[4]BS!I76</f>
        <v>0</v>
      </c>
      <c r="W36" s="254" t="e">
        <f>U36-V36</f>
        <v>#DIV/0!</v>
      </c>
    </row>
    <row r="37" spans="1:27" s="129" customFormat="1" ht="14.1" customHeight="1">
      <c r="B37" s="240" t="s">
        <v>552</v>
      </c>
      <c r="I37" s="248">
        <f>+TB!D80</f>
        <v>506.67599999999999</v>
      </c>
      <c r="J37" s="242"/>
      <c r="K37" s="252">
        <v>277</v>
      </c>
      <c r="L37" s="252"/>
      <c r="M37" s="252"/>
      <c r="S37" s="246"/>
      <c r="T37" s="1049"/>
      <c r="U37" s="253"/>
      <c r="W37" s="1050"/>
    </row>
    <row r="38" spans="1:27" ht="14.1" customHeight="1">
      <c r="B38" s="724" t="s">
        <v>44</v>
      </c>
      <c r="I38" s="248">
        <f>+TB!D79+TB!D78+TB!D77+TB!D76+TB!D69</f>
        <v>4130.12</v>
      </c>
      <c r="J38" s="189"/>
      <c r="K38" s="784">
        <v>4616</v>
      </c>
      <c r="L38" s="784"/>
      <c r="M38" s="784"/>
      <c r="N38" s="46"/>
      <c r="O38" s="46"/>
      <c r="P38" s="46"/>
      <c r="Q38" s="46"/>
      <c r="R38" s="82">
        <f>K34+K33</f>
        <v>4466</v>
      </c>
      <c r="S38" s="46">
        <f>[4]BS!I76</f>
        <v>0</v>
      </c>
      <c r="T38" s="46"/>
      <c r="U38" s="46"/>
      <c r="V38" s="46"/>
      <c r="W38" s="46"/>
      <c r="X38" s="46"/>
      <c r="Y38" s="46"/>
      <c r="Z38" s="46"/>
      <c r="AA38" s="46"/>
    </row>
    <row r="39" spans="1:27" ht="14.1" customHeight="1" thickBot="1">
      <c r="I39" s="255">
        <f>ROUND(SUM(I31:I38),0)</f>
        <v>9397</v>
      </c>
      <c r="J39" s="58"/>
      <c r="K39" s="780">
        <f>SUM(K31:K38)</f>
        <v>20672</v>
      </c>
      <c r="L39" s="781"/>
      <c r="M39" s="781">
        <f>+BS!G25</f>
        <v>9397.4493399999974</v>
      </c>
      <c r="N39" s="46"/>
      <c r="O39" s="46"/>
      <c r="P39" s="46"/>
      <c r="Q39" s="46"/>
      <c r="R39" s="46">
        <f>[4]BS!I62</f>
        <v>0</v>
      </c>
      <c r="S39" s="46">
        <f>[4]BS!I72/1000</f>
        <v>0</v>
      </c>
      <c r="T39" s="46"/>
      <c r="U39" s="46"/>
      <c r="V39" s="46"/>
      <c r="W39" s="46"/>
      <c r="X39" s="46"/>
      <c r="Y39" s="46"/>
      <c r="Z39" s="46"/>
      <c r="AA39" s="46"/>
    </row>
    <row r="40" spans="1:27" ht="13.8" thickTop="1">
      <c r="M40" s="82">
        <f>+M39-I39</f>
        <v>0.44933999999739171</v>
      </c>
      <c r="R40" s="257"/>
      <c r="S40" s="258"/>
      <c r="T40" s="258"/>
      <c r="U40" s="258"/>
      <c r="V40" s="258"/>
      <c r="W40" s="258"/>
    </row>
    <row r="41" spans="1:27">
      <c r="A41" s="227">
        <f>'Notes 7-8'!A27+0.1</f>
        <v>8.1</v>
      </c>
      <c r="B41" s="259" t="s">
        <v>335</v>
      </c>
      <c r="C41" s="260"/>
      <c r="D41" s="260"/>
      <c r="E41" s="260"/>
      <c r="F41" s="260"/>
      <c r="G41" s="260"/>
      <c r="H41" s="260"/>
      <c r="I41" s="260"/>
      <c r="J41" s="260"/>
      <c r="K41" s="260"/>
      <c r="L41" s="260"/>
      <c r="M41" s="260"/>
    </row>
    <row r="42" spans="1:27">
      <c r="A42" s="225"/>
      <c r="B42" s="260" t="s">
        <v>31</v>
      </c>
      <c r="C42" s="260"/>
      <c r="D42" s="260"/>
      <c r="E42" s="260"/>
      <c r="F42" s="260"/>
      <c r="G42" s="260"/>
      <c r="H42" s="260"/>
      <c r="I42" s="260"/>
      <c r="J42" s="260"/>
      <c r="K42" s="260"/>
      <c r="L42" s="260"/>
      <c r="M42" s="260"/>
    </row>
    <row r="43" spans="1:27">
      <c r="A43" s="882"/>
      <c r="B43" s="1178" t="s">
        <v>496</v>
      </c>
      <c r="C43" s="1178"/>
      <c r="D43" s="1178"/>
      <c r="E43" s="1178"/>
      <c r="F43" s="1178"/>
      <c r="G43" s="1178"/>
      <c r="H43" s="1178"/>
      <c r="I43" s="1178"/>
      <c r="J43" s="1178"/>
      <c r="K43" s="1178"/>
      <c r="L43" s="262"/>
      <c r="M43" s="788"/>
    </row>
    <row r="44" spans="1:27">
      <c r="A44" s="882"/>
      <c r="B44" s="1178"/>
      <c r="C44" s="1178"/>
      <c r="D44" s="1178"/>
      <c r="E44" s="1178"/>
      <c r="F44" s="1178"/>
      <c r="G44" s="1178"/>
      <c r="H44" s="1178"/>
      <c r="I44" s="1178"/>
      <c r="J44" s="1178"/>
      <c r="K44" s="1178"/>
      <c r="L44" s="262"/>
      <c r="M44" s="262"/>
    </row>
    <row r="45" spans="1:27" ht="52.5" customHeight="1">
      <c r="A45" s="882"/>
      <c r="B45" s="1178"/>
      <c r="C45" s="1178"/>
      <c r="D45" s="1178"/>
      <c r="E45" s="1178"/>
      <c r="F45" s="1178"/>
      <c r="G45" s="1178"/>
      <c r="H45" s="1178"/>
      <c r="I45" s="1178"/>
      <c r="J45" s="1178"/>
      <c r="K45" s="1178"/>
      <c r="L45" s="262"/>
      <c r="M45" s="262"/>
    </row>
    <row r="46" spans="1:27">
      <c r="A46" s="882"/>
      <c r="B46" s="883"/>
      <c r="C46" s="883"/>
      <c r="D46" s="883"/>
      <c r="E46" s="883"/>
      <c r="F46" s="883"/>
      <c r="G46" s="883"/>
      <c r="H46" s="883"/>
      <c r="I46" s="883"/>
      <c r="J46" s="883"/>
      <c r="K46" s="883"/>
      <c r="L46" s="262"/>
      <c r="M46" s="262"/>
    </row>
    <row r="47" spans="1:27">
      <c r="A47" s="882"/>
      <c r="B47" s="1178" t="s">
        <v>497</v>
      </c>
      <c r="C47" s="1178"/>
      <c r="D47" s="1178"/>
      <c r="E47" s="1178"/>
      <c r="F47" s="1178"/>
      <c r="G47" s="1178"/>
      <c r="H47" s="1178"/>
      <c r="I47" s="1178"/>
      <c r="J47" s="1178"/>
      <c r="K47" s="1178"/>
      <c r="L47" s="262"/>
      <c r="M47" s="262"/>
    </row>
    <row r="48" spans="1:27">
      <c r="A48" s="882"/>
      <c r="B48" s="1178"/>
      <c r="C48" s="1178"/>
      <c r="D48" s="1178"/>
      <c r="E48" s="1178"/>
      <c r="F48" s="1178"/>
      <c r="G48" s="1178"/>
      <c r="H48" s="1178"/>
      <c r="I48" s="1178"/>
      <c r="J48" s="1178"/>
      <c r="K48" s="1178"/>
      <c r="L48" s="262"/>
      <c r="M48" s="262"/>
    </row>
    <row r="49" spans="1:16">
      <c r="A49" s="882"/>
      <c r="B49" s="1178"/>
      <c r="C49" s="1178"/>
      <c r="D49" s="1178"/>
      <c r="E49" s="1178"/>
      <c r="F49" s="1178"/>
      <c r="G49" s="1178"/>
      <c r="H49" s="1178"/>
      <c r="I49" s="1178"/>
      <c r="J49" s="1178"/>
      <c r="K49" s="1178"/>
      <c r="L49" s="262"/>
      <c r="M49" s="262"/>
    </row>
    <row r="50" spans="1:16">
      <c r="A50" s="882"/>
      <c r="B50" s="1178"/>
      <c r="C50" s="1178"/>
      <c r="D50" s="1178"/>
      <c r="E50" s="1178"/>
      <c r="F50" s="1178"/>
      <c r="G50" s="1178"/>
      <c r="H50" s="1178"/>
      <c r="I50" s="1178"/>
      <c r="J50" s="1178"/>
      <c r="K50" s="1178"/>
      <c r="L50" s="262"/>
      <c r="M50" s="262"/>
    </row>
    <row r="51" spans="1:16">
      <c r="A51" s="882"/>
      <c r="B51" s="1181" t="s">
        <v>498</v>
      </c>
      <c r="C51" s="1181"/>
      <c r="D51" s="1181"/>
      <c r="E51" s="1181"/>
      <c r="F51" s="1181"/>
      <c r="G51" s="1181"/>
      <c r="H51" s="1181"/>
      <c r="I51" s="1181"/>
      <c r="J51" s="1181"/>
      <c r="K51" s="1181"/>
      <c r="L51" s="262"/>
      <c r="M51" s="262"/>
    </row>
    <row r="52" spans="1:16">
      <c r="A52" s="882"/>
      <c r="B52" s="883"/>
      <c r="C52" s="883"/>
      <c r="D52" s="883"/>
      <c r="E52" s="883"/>
      <c r="F52" s="883"/>
      <c r="G52" s="883"/>
      <c r="H52" s="883"/>
      <c r="I52" s="883"/>
      <c r="J52" s="883"/>
      <c r="K52" s="883"/>
      <c r="L52" s="262"/>
      <c r="M52" s="262"/>
    </row>
    <row r="53" spans="1:16">
      <c r="A53" s="225"/>
      <c r="B53" s="261"/>
      <c r="C53" s="262"/>
      <c r="D53" s="262"/>
      <c r="E53" s="262"/>
      <c r="F53" s="262"/>
      <c r="G53" s="262"/>
      <c r="H53" s="262"/>
      <c r="I53" s="262"/>
      <c r="J53" s="262"/>
      <c r="K53" s="262"/>
      <c r="L53" s="262"/>
      <c r="M53" s="262"/>
    </row>
    <row r="54" spans="1:16">
      <c r="A54" s="227">
        <f>A41+0.1</f>
        <v>8.1999999999999993</v>
      </c>
      <c r="B54" s="265" t="s">
        <v>45</v>
      </c>
      <c r="C54" s="260"/>
      <c r="D54" s="260"/>
      <c r="E54" s="260"/>
      <c r="F54" s="260"/>
      <c r="G54" s="260"/>
      <c r="H54" s="260"/>
      <c r="I54" s="260"/>
      <c r="J54" s="260"/>
      <c r="K54" s="260"/>
      <c r="L54" s="260"/>
      <c r="M54" s="260"/>
    </row>
    <row r="55" spans="1:16">
      <c r="A55" s="225"/>
      <c r="B55" s="260"/>
      <c r="C55" s="260"/>
      <c r="D55" s="260"/>
      <c r="E55" s="260"/>
      <c r="F55" s="260"/>
      <c r="G55" s="260"/>
      <c r="H55" s="260"/>
      <c r="I55" s="260"/>
      <c r="J55" s="260"/>
      <c r="K55" s="260"/>
      <c r="L55" s="260"/>
      <c r="M55" s="260"/>
    </row>
    <row r="56" spans="1:16">
      <c r="A56" s="289"/>
      <c r="B56" s="1179" t="s">
        <v>553</v>
      </c>
      <c r="C56" s="1179"/>
      <c r="D56" s="1179"/>
      <c r="E56" s="1179"/>
      <c r="F56" s="1179"/>
      <c r="G56" s="1179"/>
      <c r="H56" s="1179"/>
      <c r="I56" s="1179"/>
      <c r="J56" s="1179"/>
      <c r="K56" s="1179"/>
      <c r="L56" s="777"/>
      <c r="M56" s="880">
        <f>BS!G30</f>
        <v>9565658</v>
      </c>
    </row>
    <row r="57" spans="1:16">
      <c r="A57" s="289"/>
      <c r="B57" s="1179"/>
      <c r="C57" s="1179"/>
      <c r="D57" s="1179"/>
      <c r="E57" s="1179"/>
      <c r="F57" s="1179"/>
      <c r="G57" s="1179"/>
      <c r="H57" s="1179"/>
      <c r="I57" s="1179"/>
      <c r="J57" s="1179"/>
      <c r="K57" s="1179"/>
      <c r="L57" s="777"/>
      <c r="M57" s="881">
        <f>I33+I34</f>
        <v>4463.2576899999995</v>
      </c>
      <c r="N57" s="364">
        <f>+M57</f>
        <v>4463.2576899999995</v>
      </c>
    </row>
    <row r="58" spans="1:16">
      <c r="A58" s="289"/>
      <c r="B58" s="1179"/>
      <c r="C58" s="1179"/>
      <c r="D58" s="1179"/>
      <c r="E58" s="1179"/>
      <c r="F58" s="1179"/>
      <c r="G58" s="1179"/>
      <c r="H58" s="1179"/>
      <c r="I58" s="1179"/>
      <c r="J58" s="1179"/>
      <c r="K58" s="1179"/>
      <c r="L58" s="777"/>
      <c r="M58" s="880">
        <f>SUM(M56:M57)</f>
        <v>9570121.2576899994</v>
      </c>
      <c r="N58" s="71">
        <f>+M59</f>
        <v>96127599.498600006</v>
      </c>
    </row>
    <row r="59" spans="1:16" ht="24.75" customHeight="1">
      <c r="A59" s="289"/>
      <c r="B59" s="1179"/>
      <c r="C59" s="1179"/>
      <c r="D59" s="1179"/>
      <c r="E59" s="1179"/>
      <c r="F59" s="1179"/>
      <c r="G59" s="1179"/>
      <c r="H59" s="1179"/>
      <c r="I59" s="1179"/>
      <c r="J59" s="1179"/>
      <c r="K59" s="1179"/>
      <c r="L59" s="777"/>
      <c r="M59" s="777">
        <f>BS!G36</f>
        <v>96127599.498600006</v>
      </c>
      <c r="N59" s="1011">
        <f>+N57*1000/N58</f>
        <v>4.643055390210802E-2</v>
      </c>
    </row>
    <row r="60" spans="1:16">
      <c r="A60" s="289"/>
      <c r="B60" s="777"/>
      <c r="C60" s="777"/>
      <c r="D60" s="777"/>
      <c r="E60" s="777"/>
      <c r="F60" s="777"/>
      <c r="G60" s="777"/>
      <c r="H60" s="777"/>
      <c r="I60" s="777"/>
      <c r="J60" s="777"/>
      <c r="K60" s="777"/>
      <c r="L60" s="777"/>
      <c r="M60" s="1009">
        <f>(M58/M59)*1000</f>
        <v>99.556436524032591</v>
      </c>
    </row>
    <row r="61" spans="1:16">
      <c r="M61" s="46">
        <f>99.51</f>
        <v>99.51</v>
      </c>
    </row>
    <row r="62" spans="1:16" s="279" customFormat="1" ht="12.75" customHeight="1">
      <c r="A62" s="289"/>
      <c r="B62" s="630"/>
      <c r="C62" s="630"/>
      <c r="D62" s="630"/>
      <c r="E62" s="630"/>
      <c r="F62" s="630"/>
      <c r="G62" s="630"/>
      <c r="H62" s="630"/>
      <c r="I62" s="630"/>
      <c r="J62" s="630"/>
      <c r="K62" s="630"/>
      <c r="L62" s="630"/>
      <c r="M62" s="1010">
        <f>M60-M61</f>
        <v>4.6436524032586135E-2</v>
      </c>
      <c r="N62" s="630"/>
      <c r="O62" s="630"/>
      <c r="P62" s="630"/>
    </row>
  </sheetData>
  <mergeCells count="12">
    <mergeCell ref="B43:K45"/>
    <mergeCell ref="B56:K59"/>
    <mergeCell ref="I11:K11"/>
    <mergeCell ref="B3:G10"/>
    <mergeCell ref="V32:V33"/>
    <mergeCell ref="B47:K50"/>
    <mergeCell ref="B51:K51"/>
    <mergeCell ref="W32:W33"/>
    <mergeCell ref="I29:K29"/>
    <mergeCell ref="B19:K21"/>
    <mergeCell ref="B23:K23"/>
    <mergeCell ref="U32:U33"/>
  </mergeCells>
  <pageMargins left="0.75" right="0.5" top="0.75" bottom="0.5" header="0.4" footer="0.2"/>
  <pageSetup paperSize="9" scale="77" orientation="portrait" r:id="rId1"/>
  <headerFooter alignWithMargins="0"/>
  <rowBreaks count="1" manualBreakCount="1">
    <brk id="25" max="10"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F157"/>
  <sheetViews>
    <sheetView showGridLines="0" view="pageBreakPreview" zoomScale="70" zoomScaleNormal="90" zoomScaleSheetLayoutView="70" workbookViewId="0">
      <selection activeCell="B12" sqref="B12:M18"/>
    </sheetView>
  </sheetViews>
  <sheetFormatPr defaultColWidth="9.109375" defaultRowHeight="13.2"/>
  <cols>
    <col min="1" max="1" width="5.5546875" style="2" customWidth="1"/>
    <col min="2" max="2" width="24" style="7" customWidth="1"/>
    <col min="3" max="3" width="12" style="7" bestFit="1" customWidth="1"/>
    <col min="4" max="4" width="13.5546875" style="7" bestFit="1" customWidth="1"/>
    <col min="5" max="5" width="8.109375" style="7" customWidth="1"/>
    <col min="6" max="6" width="13.5546875" style="7" bestFit="1" customWidth="1"/>
    <col min="7" max="7" width="12.109375" style="7" bestFit="1" customWidth="1"/>
    <col min="8" max="8" width="0.88671875" style="7" customWidth="1"/>
    <col min="9" max="9" width="10.88671875" style="7" customWidth="1"/>
    <col min="10" max="10" width="13.5546875" style="7" bestFit="1" customWidth="1"/>
    <col min="11" max="11" width="10.44140625" style="7" bestFit="1" customWidth="1"/>
    <col min="12" max="12" width="13.5546875" style="7" bestFit="1" customWidth="1"/>
    <col min="13" max="13" width="10.5546875" style="7" customWidth="1"/>
    <col min="14" max="14" width="2.44140625" style="43" customWidth="1"/>
    <col min="15" max="16" width="10.5546875" style="43" customWidth="1"/>
    <col min="17" max="17" width="16.109375" style="7" bestFit="1" customWidth="1"/>
    <col min="18" max="18" width="9.109375" style="7"/>
    <col min="19" max="19" width="17.44140625" style="7" customWidth="1"/>
    <col min="20" max="20" width="14" style="7" customWidth="1"/>
    <col min="21" max="21" width="17.88671875" style="7" bestFit="1" customWidth="1"/>
    <col min="22" max="16384" width="9.109375" style="7"/>
  </cols>
  <sheetData>
    <row r="1" spans="1:32" s="46" customFormat="1">
      <c r="A1" s="288">
        <f>+'Notes 7-8'!A27+1</f>
        <v>9</v>
      </c>
      <c r="B1" s="184" t="s">
        <v>52</v>
      </c>
    </row>
    <row r="2" spans="1:32" s="46" customFormat="1">
      <c r="A2" s="55"/>
    </row>
    <row r="3" spans="1:32" s="46" customFormat="1" ht="12.75" customHeight="1">
      <c r="A3" s="55"/>
      <c r="B3" s="1184" t="s">
        <v>559</v>
      </c>
      <c r="C3" s="1184"/>
      <c r="D3" s="1184"/>
      <c r="E3" s="1184"/>
      <c r="F3" s="1184"/>
      <c r="G3" s="1184"/>
      <c r="H3" s="1184"/>
      <c r="I3" s="1184"/>
      <c r="J3" s="1184"/>
      <c r="K3" s="1184"/>
      <c r="L3" s="1184"/>
      <c r="M3" s="1184"/>
      <c r="N3" s="1012"/>
      <c r="O3" s="1012" t="str">
        <f>+CONCATENATE(B3," ",B4)</f>
        <v xml:space="preserve">The Total Expense Ratio (TER) of the Fund for the quarter ended 31 March 2022 is 0.28% (31 March 2021 0.29 )YTD in which includes 0.04% (31 March 2021 0.16%) representing government levies on the Fund such as federal excise duties and sales taxes, Workers' Welfare Fund, annual fee payable to the SECP, etc. </v>
      </c>
      <c r="P3" s="1012"/>
    </row>
    <row r="4" spans="1:32" s="46" customFormat="1" ht="24.75" customHeight="1">
      <c r="A4" s="55"/>
      <c r="B4" s="1184"/>
      <c r="C4" s="1184"/>
      <c r="D4" s="1184"/>
      <c r="E4" s="1184"/>
      <c r="F4" s="1184"/>
      <c r="G4" s="1184"/>
      <c r="H4" s="1184"/>
      <c r="I4" s="1184"/>
      <c r="J4" s="1184"/>
      <c r="K4" s="1184"/>
      <c r="L4" s="1184"/>
      <c r="M4" s="1184"/>
      <c r="N4" s="1012"/>
      <c r="O4" s="1053">
        <v>1.8E-3</v>
      </c>
      <c r="P4" s="1053">
        <v>2.0999999999999999E-3</v>
      </c>
      <c r="Q4" s="631"/>
      <c r="R4" s="631"/>
      <c r="S4" s="631"/>
      <c r="T4" s="631"/>
      <c r="U4" s="631"/>
      <c r="V4" s="631"/>
      <c r="W4" s="631"/>
      <c r="X4" s="631"/>
      <c r="Y4" s="631"/>
      <c r="Z4" s="631"/>
      <c r="AA4" s="631"/>
      <c r="AB4" s="631"/>
    </row>
    <row r="5" spans="1:32" s="189" customFormat="1" ht="12.75" customHeight="1">
      <c r="A5" s="186"/>
      <c r="B5" s="187"/>
      <c r="C5" s="187"/>
      <c r="D5" s="187"/>
      <c r="E5" s="187"/>
      <c r="F5" s="187"/>
      <c r="G5" s="187"/>
      <c r="H5" s="187"/>
      <c r="I5" s="187"/>
      <c r="J5" s="187"/>
      <c r="K5" s="187"/>
      <c r="L5" s="188"/>
      <c r="O5" s="1070">
        <f>O4/274*365</f>
        <v>2.3978102189781019E-3</v>
      </c>
      <c r="P5" s="1070">
        <f>P4/274*365</f>
        <v>2.7974452554744523E-3</v>
      </c>
      <c r="Q5" s="185"/>
      <c r="R5" s="185"/>
      <c r="S5" s="185"/>
      <c r="T5" s="185"/>
      <c r="U5" s="185"/>
      <c r="V5" s="185"/>
      <c r="W5" s="185"/>
      <c r="X5" s="185"/>
      <c r="Y5" s="185"/>
      <c r="Z5" s="185"/>
      <c r="AA5" s="185"/>
      <c r="AB5" s="185"/>
    </row>
    <row r="6" spans="1:32" s="189" customFormat="1" ht="12.75" customHeight="1">
      <c r="A6" s="288">
        <f>'Notes 9-13'!A1+1</f>
        <v>10</v>
      </c>
      <c r="B6" s="190" t="s">
        <v>46</v>
      </c>
      <c r="C6" s="191"/>
      <c r="D6" s="191"/>
      <c r="E6" s="191"/>
      <c r="F6" s="191"/>
      <c r="G6" s="192"/>
      <c r="H6" s="193"/>
      <c r="I6" s="194"/>
      <c r="J6" s="194"/>
      <c r="K6" s="195"/>
      <c r="L6" s="196"/>
      <c r="O6" s="1183">
        <f>+P5-O5</f>
        <v>3.9963503649635039E-4</v>
      </c>
      <c r="P6" s="1183"/>
      <c r="V6" s="197"/>
      <c r="W6" s="197"/>
    </row>
    <row r="7" spans="1:32" s="189" customFormat="1" ht="12.75" customHeight="1">
      <c r="A7" s="198"/>
      <c r="B7" s="190"/>
      <c r="C7" s="191"/>
      <c r="D7" s="191"/>
      <c r="E7" s="191"/>
      <c r="F7" s="191"/>
      <c r="G7" s="192"/>
      <c r="H7" s="193"/>
      <c r="I7" s="194"/>
      <c r="J7" s="194"/>
      <c r="P7" s="262"/>
      <c r="Q7" s="263"/>
      <c r="R7" s="264" t="s">
        <v>54</v>
      </c>
      <c r="S7" s="234" t="s">
        <v>55</v>
      </c>
      <c r="T7" s="234" t="s">
        <v>56</v>
      </c>
      <c r="U7" s="234" t="s">
        <v>58</v>
      </c>
      <c r="V7" s="234" t="s">
        <v>57</v>
      </c>
      <c r="W7" s="234" t="s">
        <v>59</v>
      </c>
      <c r="X7" s="509"/>
      <c r="Y7" s="509"/>
      <c r="Z7" s="509"/>
      <c r="AA7" s="509"/>
      <c r="AB7" s="509"/>
      <c r="AC7" s="509"/>
      <c r="AD7" s="509"/>
      <c r="AE7" s="509"/>
      <c r="AF7" s="509"/>
    </row>
    <row r="8" spans="1:32" s="189" customFormat="1" ht="12.75" customHeight="1">
      <c r="A8" s="198"/>
      <c r="B8" s="1128" t="s">
        <v>526</v>
      </c>
      <c r="C8" s="1128"/>
      <c r="D8" s="1128"/>
      <c r="E8" s="1128"/>
      <c r="F8" s="1128"/>
      <c r="G8" s="1128"/>
      <c r="H8" s="1128"/>
      <c r="I8" s="1128"/>
      <c r="J8" s="1128"/>
      <c r="K8" s="1128"/>
      <c r="L8" s="1128"/>
      <c r="M8" s="1128"/>
      <c r="N8" s="664"/>
      <c r="O8" s="664"/>
      <c r="P8" s="260"/>
      <c r="Q8" s="260"/>
      <c r="R8" s="260"/>
      <c r="S8" s="260"/>
      <c r="T8" s="509"/>
      <c r="U8" s="509"/>
      <c r="V8" s="509"/>
      <c r="W8" s="509"/>
      <c r="X8" s="509"/>
      <c r="Y8" s="509"/>
      <c r="Z8" s="509"/>
      <c r="AA8" s="509"/>
      <c r="AB8" s="509"/>
      <c r="AC8" s="509"/>
      <c r="AD8" s="509"/>
      <c r="AE8" s="509"/>
      <c r="AF8" s="509"/>
    </row>
    <row r="9" spans="1:32" s="189" customFormat="1" ht="12.75" customHeight="1">
      <c r="A9" s="198"/>
      <c r="B9" s="199"/>
      <c r="C9" s="199"/>
      <c r="D9" s="199"/>
      <c r="E9" s="199"/>
      <c r="F9" s="199"/>
      <c r="G9" s="199"/>
      <c r="H9" s="199"/>
      <c r="I9" s="199"/>
      <c r="J9" s="199"/>
      <c r="K9" s="199"/>
      <c r="L9" s="200"/>
      <c r="P9" s="260"/>
      <c r="Q9" s="260"/>
      <c r="R9" s="260"/>
      <c r="S9" s="260"/>
      <c r="T9" s="509"/>
      <c r="U9" s="509"/>
      <c r="V9" s="509"/>
      <c r="W9" s="509"/>
      <c r="X9" s="509"/>
      <c r="Y9" s="509"/>
      <c r="Z9" s="509"/>
      <c r="AA9" s="509"/>
      <c r="AB9" s="509"/>
      <c r="AC9" s="509"/>
      <c r="AD9" s="509"/>
      <c r="AE9" s="509"/>
      <c r="AF9" s="509"/>
    </row>
    <row r="10" spans="1:32" s="189" customFormat="1" ht="12.75" customHeight="1">
      <c r="A10" s="288">
        <f>'Notes 9-13'!A6+1</f>
        <v>11</v>
      </c>
      <c r="B10" s="202" t="s">
        <v>48</v>
      </c>
      <c r="O10" s="970"/>
      <c r="P10" s="660"/>
      <c r="Q10" s="619"/>
      <c r="R10" s="620" t="s">
        <v>54</v>
      </c>
      <c r="S10" s="620" t="s">
        <v>60</v>
      </c>
      <c r="T10" s="620" t="s">
        <v>56</v>
      </c>
      <c r="U10" s="620" t="s">
        <v>58</v>
      </c>
      <c r="V10" s="620" t="s">
        <v>57</v>
      </c>
      <c r="W10" s="620" t="s">
        <v>59</v>
      </c>
      <c r="X10" s="279"/>
      <c r="Y10" s="279"/>
      <c r="Z10" s="279"/>
      <c r="AA10" s="279"/>
      <c r="AB10" s="279"/>
      <c r="AC10" s="279"/>
      <c r="AD10" s="279"/>
      <c r="AE10" s="279"/>
      <c r="AF10" s="279"/>
    </row>
    <row r="11" spans="1:32" s="189" customFormat="1" ht="12.75" customHeight="1">
      <c r="A11" s="203"/>
      <c r="B11" s="145"/>
      <c r="O11" s="1054"/>
      <c r="P11" s="660"/>
      <c r="Q11" s="619"/>
      <c r="R11" s="620"/>
      <c r="S11" s="620"/>
      <c r="T11" s="620"/>
      <c r="U11" s="620"/>
      <c r="V11" s="620"/>
      <c r="W11" s="620"/>
      <c r="X11" s="279"/>
      <c r="Y11" s="279"/>
      <c r="Z11" s="279"/>
      <c r="AA11" s="279"/>
      <c r="AB11" s="279"/>
      <c r="AC11" s="279"/>
      <c r="AD11" s="279"/>
      <c r="AE11" s="279"/>
      <c r="AF11" s="279"/>
    </row>
    <row r="12" spans="1:32" s="189" customFormat="1" ht="12.75" customHeight="1">
      <c r="A12" s="202"/>
      <c r="B12" s="1193" t="s">
        <v>486</v>
      </c>
      <c r="C12" s="1193"/>
      <c r="D12" s="1193"/>
      <c r="E12" s="1193"/>
      <c r="F12" s="1193"/>
      <c r="G12" s="1193"/>
      <c r="H12" s="1193"/>
      <c r="I12" s="1193"/>
      <c r="J12" s="1193"/>
      <c r="K12" s="1193"/>
      <c r="L12" s="1193"/>
      <c r="M12" s="1193"/>
      <c r="N12" s="665"/>
      <c r="O12" s="665"/>
      <c r="P12" s="660"/>
      <c r="Q12" s="619"/>
      <c r="R12" s="621">
        <f>[5]SOAL!$F$34</f>
        <v>152343</v>
      </c>
      <c r="S12" s="622">
        <f>'Notes 7-8'!I32</f>
        <v>0</v>
      </c>
      <c r="T12" s="623">
        <f>R12+S12</f>
        <v>152343</v>
      </c>
      <c r="U12" s="624">
        <f>ROUND((T12/[5]SOAL!$F$40)*1000,4)</f>
        <v>99.51</v>
      </c>
      <c r="V12" s="625">
        <f>[5]SOAL!$F$44</f>
        <v>99.51</v>
      </c>
      <c r="W12" s="626">
        <f>U12-V12</f>
        <v>0</v>
      </c>
      <c r="X12" s="279"/>
      <c r="Y12" s="279"/>
      <c r="Z12" s="279"/>
      <c r="AA12" s="279"/>
      <c r="AB12" s="279"/>
      <c r="AC12" s="279"/>
      <c r="AD12" s="279"/>
      <c r="AE12" s="279"/>
      <c r="AF12" s="279"/>
    </row>
    <row r="13" spans="1:32" s="189" customFormat="1" ht="12.75" customHeight="1">
      <c r="A13" s="202"/>
      <c r="B13" s="1193"/>
      <c r="C13" s="1193"/>
      <c r="D13" s="1193"/>
      <c r="E13" s="1193"/>
      <c r="F13" s="1193"/>
      <c r="G13" s="1193"/>
      <c r="H13" s="1193"/>
      <c r="I13" s="1193"/>
      <c r="J13" s="1193"/>
      <c r="K13" s="1193"/>
      <c r="L13" s="1193"/>
      <c r="M13" s="1193"/>
      <c r="N13" s="665"/>
      <c r="O13" s="665"/>
      <c r="P13" s="660"/>
      <c r="Q13" s="619"/>
      <c r="R13" s="627">
        <f>[5]SOAL!$H$34</f>
        <v>253511</v>
      </c>
      <c r="S13" s="628">
        <f>'Notes 7-8'!K32</f>
        <v>0</v>
      </c>
      <c r="T13" s="623">
        <f>R13+S13</f>
        <v>253511</v>
      </c>
      <c r="U13" s="624">
        <f>(T13/[5]SOAL!$H$40)*1000</f>
        <v>102.1021347743835</v>
      </c>
      <c r="V13" s="279">
        <f>[5]SOAL!$H$44</f>
        <v>102.10209999999999</v>
      </c>
      <c r="W13" s="629">
        <f>U13-V13</f>
        <v>3.477438350785178E-5</v>
      </c>
      <c r="X13" s="279"/>
      <c r="Y13" s="279"/>
      <c r="Z13" s="279"/>
      <c r="AA13" s="279"/>
      <c r="AB13" s="279"/>
      <c r="AC13" s="279"/>
      <c r="AD13" s="279"/>
      <c r="AE13" s="279"/>
      <c r="AF13" s="279"/>
    </row>
    <row r="14" spans="1:32" s="189" customFormat="1" ht="12.75" customHeight="1">
      <c r="A14" s="202"/>
      <c r="B14" s="1193"/>
      <c r="C14" s="1193"/>
      <c r="D14" s="1193"/>
      <c r="E14" s="1193"/>
      <c r="F14" s="1193"/>
      <c r="G14" s="1193"/>
      <c r="H14" s="1193"/>
      <c r="I14" s="1193"/>
      <c r="J14" s="1193"/>
      <c r="K14" s="1193"/>
      <c r="L14" s="1193"/>
      <c r="M14" s="1193"/>
      <c r="N14" s="665"/>
      <c r="O14" s="665"/>
      <c r="P14" s="660"/>
      <c r="Q14" s="619"/>
      <c r="R14" s="630"/>
      <c r="S14" s="630"/>
      <c r="T14" s="279"/>
      <c r="U14" s="279"/>
      <c r="V14" s="279"/>
      <c r="W14" s="279"/>
      <c r="X14" s="279"/>
      <c r="Y14" s="279"/>
      <c r="Z14" s="279"/>
      <c r="AA14" s="279"/>
      <c r="AB14" s="279"/>
      <c r="AC14" s="279"/>
      <c r="AD14" s="279"/>
      <c r="AE14" s="279"/>
      <c r="AF14" s="279"/>
    </row>
    <row r="15" spans="1:32" s="189" customFormat="1" ht="12.75" customHeight="1">
      <c r="A15" s="202"/>
      <c r="B15" s="1193"/>
      <c r="C15" s="1193"/>
      <c r="D15" s="1193"/>
      <c r="E15" s="1193"/>
      <c r="F15" s="1193"/>
      <c r="G15" s="1193"/>
      <c r="H15" s="1193"/>
      <c r="I15" s="1193"/>
      <c r="J15" s="1193"/>
      <c r="K15" s="1193"/>
      <c r="L15" s="1193"/>
      <c r="M15" s="1193"/>
      <c r="N15" s="665"/>
      <c r="O15" s="665"/>
      <c r="P15" s="46"/>
      <c r="Q15" s="46"/>
      <c r="R15" s="46"/>
      <c r="S15" s="46"/>
      <c r="T15" s="46"/>
      <c r="U15" s="46"/>
      <c r="V15" s="46"/>
      <c r="W15" s="46"/>
      <c r="X15" s="46"/>
      <c r="Y15" s="46"/>
      <c r="Z15" s="46"/>
      <c r="AA15" s="46"/>
      <c r="AB15" s="46"/>
      <c r="AC15" s="46"/>
      <c r="AD15" s="46"/>
      <c r="AE15" s="46"/>
      <c r="AF15" s="46"/>
    </row>
    <row r="16" spans="1:32" s="189" customFormat="1" ht="19.350000000000001" customHeight="1">
      <c r="A16" s="202"/>
      <c r="B16" s="1193"/>
      <c r="C16" s="1193"/>
      <c r="D16" s="1193"/>
      <c r="E16" s="1193"/>
      <c r="F16" s="1193"/>
      <c r="G16" s="1193"/>
      <c r="H16" s="1193"/>
      <c r="I16" s="1193"/>
      <c r="J16" s="1193"/>
      <c r="K16" s="1193"/>
      <c r="L16" s="1193"/>
      <c r="M16" s="1193"/>
      <c r="N16" s="665"/>
      <c r="O16" s="665"/>
      <c r="P16" s="46"/>
      <c r="Q16" s="46"/>
      <c r="R16" s="46"/>
      <c r="S16" s="46"/>
      <c r="T16" s="46"/>
      <c r="U16" s="46"/>
      <c r="V16" s="46"/>
      <c r="W16" s="46"/>
      <c r="X16" s="46"/>
      <c r="Y16" s="46"/>
      <c r="Z16" s="46"/>
      <c r="AA16" s="46"/>
      <c r="AB16" s="46"/>
      <c r="AC16" s="46"/>
      <c r="AD16" s="46"/>
      <c r="AE16" s="46"/>
      <c r="AF16" s="46"/>
    </row>
    <row r="17" spans="1:32" s="189" customFormat="1" ht="12.75" customHeight="1">
      <c r="A17" s="202"/>
      <c r="B17" s="1193"/>
      <c r="C17" s="1193"/>
      <c r="D17" s="1193"/>
      <c r="E17" s="1193"/>
      <c r="F17" s="1193"/>
      <c r="G17" s="1193"/>
      <c r="H17" s="1193"/>
      <c r="I17" s="1193"/>
      <c r="J17" s="1193"/>
      <c r="K17" s="1193"/>
      <c r="L17" s="1193"/>
      <c r="M17" s="1193"/>
      <c r="P17" s="46"/>
      <c r="Q17" s="631" t="s">
        <v>293</v>
      </c>
      <c r="R17" s="631"/>
      <c r="S17" s="631"/>
      <c r="T17" s="631"/>
      <c r="U17" s="631"/>
      <c r="V17" s="631"/>
      <c r="W17" s="631"/>
      <c r="X17" s="631"/>
      <c r="Y17" s="631"/>
      <c r="Z17" s="631"/>
      <c r="AA17" s="631"/>
      <c r="AB17" s="631"/>
      <c r="AC17" s="46"/>
      <c r="AD17" s="46"/>
      <c r="AE17" s="46"/>
      <c r="AF17" s="46"/>
    </row>
    <row r="18" spans="1:32" s="189" customFormat="1" ht="12.75" customHeight="1">
      <c r="A18" s="202"/>
      <c r="B18" s="1193"/>
      <c r="C18" s="1193"/>
      <c r="D18" s="1193"/>
      <c r="E18" s="1193"/>
      <c r="F18" s="1193"/>
      <c r="G18" s="1193"/>
      <c r="H18" s="1193"/>
      <c r="I18" s="1193"/>
      <c r="J18" s="1193"/>
      <c r="K18" s="1193"/>
      <c r="L18" s="1193"/>
      <c r="M18" s="1193"/>
    </row>
    <row r="19" spans="1:32" s="189" customFormat="1" ht="12.75" customHeight="1">
      <c r="A19" s="288">
        <f>'Notes 9-13'!A10+1</f>
        <v>12</v>
      </c>
      <c r="B19" s="644" t="s">
        <v>327</v>
      </c>
      <c r="C19" s="645"/>
      <c r="D19" s="645"/>
      <c r="E19" s="645"/>
      <c r="F19" s="645"/>
      <c r="G19" s="645"/>
      <c r="H19" s="645"/>
      <c r="I19" s="645"/>
      <c r="J19" s="645"/>
      <c r="K19" s="645"/>
      <c r="L19" s="645"/>
    </row>
    <row r="20" spans="1:32" s="189" customFormat="1" ht="12.75" customHeight="1">
      <c r="A20" s="115"/>
      <c r="B20" s="645"/>
      <c r="C20" s="645"/>
      <c r="D20" s="645"/>
      <c r="E20" s="645"/>
      <c r="F20" s="645"/>
      <c r="G20" s="645"/>
      <c r="H20" s="645"/>
      <c r="I20" s="645"/>
      <c r="J20" s="645"/>
      <c r="K20" s="645"/>
      <c r="L20" s="645"/>
    </row>
    <row r="21" spans="1:32" s="189" customFormat="1" ht="12.75" customHeight="1">
      <c r="A21" s="115"/>
      <c r="B21" s="1194" t="s">
        <v>326</v>
      </c>
      <c r="C21" s="1194"/>
      <c r="D21" s="1194"/>
      <c r="E21" s="1194"/>
      <c r="F21" s="1194"/>
      <c r="G21" s="1194"/>
      <c r="H21" s="1194"/>
      <c r="I21" s="1194"/>
      <c r="J21" s="1194"/>
      <c r="K21" s="1194"/>
      <c r="L21" s="1194"/>
      <c r="M21" s="1194"/>
      <c r="N21" s="663"/>
      <c r="O21" s="663"/>
      <c r="P21" s="663"/>
    </row>
    <row r="22" spans="1:32" s="189" customFormat="1" ht="12.75" customHeight="1">
      <c r="A22" s="115"/>
      <c r="B22" s="1194"/>
      <c r="C22" s="1194"/>
      <c r="D22" s="1194"/>
      <c r="E22" s="1194"/>
      <c r="F22" s="1194"/>
      <c r="G22" s="1194"/>
      <c r="H22" s="1194"/>
      <c r="I22" s="1194"/>
      <c r="J22" s="1194"/>
      <c r="K22" s="1194"/>
      <c r="L22" s="1194"/>
      <c r="M22" s="1194"/>
      <c r="N22" s="663"/>
      <c r="O22" s="663"/>
      <c r="P22" s="663"/>
    </row>
    <row r="23" spans="1:32" s="189" customFormat="1" ht="12.75" customHeight="1">
      <c r="A23" s="115"/>
    </row>
    <row r="24" spans="1:32" s="189" customFormat="1" ht="12.75" customHeight="1">
      <c r="A24" s="288">
        <f>'Notes 9-13'!A19+1</f>
        <v>13</v>
      </c>
      <c r="B24" s="145" t="s">
        <v>49</v>
      </c>
      <c r="C24" s="145"/>
      <c r="D24" s="145"/>
      <c r="E24" s="145"/>
      <c r="F24" s="115"/>
      <c r="J24" s="204"/>
      <c r="K24" s="204"/>
      <c r="Q24" s="205" t="e">
        <f>#REF!/#REF!*100</f>
        <v>#REF!</v>
      </c>
    </row>
    <row r="25" spans="1:32" s="189" customFormat="1" ht="12.75" customHeight="1">
      <c r="A25" s="115"/>
      <c r="B25" s="115"/>
      <c r="C25" s="115"/>
      <c r="D25" s="115"/>
      <c r="E25" s="115"/>
      <c r="F25" s="115"/>
    </row>
    <row r="26" spans="1:32" s="189" customFormat="1" ht="12.75" customHeight="1">
      <c r="A26" s="115"/>
      <c r="B26" s="1195" t="s">
        <v>146</v>
      </c>
      <c r="C26" s="1195"/>
      <c r="D26" s="1195"/>
      <c r="E26" s="1195"/>
      <c r="F26" s="1195"/>
      <c r="G26" s="1195"/>
      <c r="H26" s="1195"/>
      <c r="I26" s="1195"/>
      <c r="J26" s="1196"/>
      <c r="K26" s="1196"/>
      <c r="L26" s="1196"/>
      <c r="M26" s="1196"/>
      <c r="N26" s="666"/>
      <c r="O26" s="666"/>
      <c r="P26" s="666"/>
    </row>
    <row r="27" spans="1:32" s="189" customFormat="1" ht="12.75" customHeight="1">
      <c r="A27" s="115"/>
      <c r="B27" s="1195"/>
      <c r="C27" s="1195"/>
      <c r="D27" s="1195"/>
      <c r="E27" s="1195"/>
      <c r="F27" s="1195"/>
      <c r="G27" s="1195"/>
      <c r="H27" s="1195"/>
      <c r="I27" s="1195"/>
      <c r="J27" s="1196"/>
      <c r="K27" s="1196"/>
      <c r="L27" s="1196"/>
      <c r="M27" s="1196"/>
      <c r="N27" s="666"/>
      <c r="O27" s="666"/>
      <c r="P27" s="666"/>
    </row>
    <row r="28" spans="1:32" s="189" customFormat="1" ht="12.75" customHeight="1">
      <c r="A28" s="115"/>
      <c r="B28" s="1195"/>
      <c r="C28" s="1195"/>
      <c r="D28" s="1195"/>
      <c r="E28" s="1195"/>
      <c r="F28" s="1195"/>
      <c r="G28" s="1195"/>
      <c r="H28" s="1195"/>
      <c r="I28" s="1195"/>
      <c r="J28" s="1196"/>
      <c r="K28" s="1196"/>
      <c r="L28" s="1196"/>
      <c r="M28" s="1196"/>
      <c r="N28" s="666"/>
      <c r="O28" s="666"/>
      <c r="P28" s="666"/>
    </row>
    <row r="29" spans="1:32" s="189" customFormat="1" ht="12.75" customHeight="1">
      <c r="A29" s="115"/>
      <c r="B29" s="1195"/>
      <c r="C29" s="1195"/>
      <c r="D29" s="1195"/>
      <c r="E29" s="1195"/>
      <c r="F29" s="1195"/>
      <c r="G29" s="1195"/>
      <c r="H29" s="1195"/>
      <c r="I29" s="1195"/>
      <c r="J29" s="1196"/>
      <c r="K29" s="1196"/>
      <c r="L29" s="1196"/>
      <c r="M29" s="1196"/>
      <c r="N29" s="666"/>
      <c r="O29" s="666"/>
      <c r="P29" s="666"/>
    </row>
    <row r="30" spans="1:32" s="189" customFormat="1" ht="12.75" customHeight="1">
      <c r="A30" s="115"/>
      <c r="B30" s="1128" t="s">
        <v>363</v>
      </c>
      <c r="C30" s="1128"/>
      <c r="D30" s="1128"/>
      <c r="E30" s="1128"/>
      <c r="F30" s="1128"/>
      <c r="G30" s="1128"/>
      <c r="H30" s="1128"/>
      <c r="I30" s="1128"/>
      <c r="J30" s="1128"/>
      <c r="K30" s="1128"/>
      <c r="L30" s="1128"/>
      <c r="M30" s="1128"/>
      <c r="N30" s="666"/>
      <c r="O30" s="666"/>
      <c r="P30" s="666"/>
    </row>
    <row r="31" spans="1:32" s="189" customFormat="1" ht="12.75" customHeight="1">
      <c r="A31" s="115"/>
      <c r="B31" s="1128"/>
      <c r="C31" s="1128"/>
      <c r="D31" s="1128"/>
      <c r="E31" s="1128"/>
      <c r="F31" s="1128"/>
      <c r="G31" s="1128"/>
      <c r="H31" s="1128"/>
      <c r="I31" s="1128"/>
      <c r="J31" s="1128"/>
      <c r="K31" s="1128"/>
      <c r="L31" s="1128"/>
      <c r="M31" s="1128"/>
      <c r="N31" s="666"/>
      <c r="O31" s="666"/>
      <c r="P31" s="666"/>
    </row>
    <row r="32" spans="1:32" s="189" customFormat="1" ht="15" customHeight="1">
      <c r="A32" s="115"/>
      <c r="B32" s="1128"/>
      <c r="C32" s="1128"/>
      <c r="D32" s="1128"/>
      <c r="E32" s="1128"/>
      <c r="F32" s="1128"/>
      <c r="G32" s="1128"/>
      <c r="H32" s="1128"/>
      <c r="I32" s="1128"/>
      <c r="J32" s="1128"/>
      <c r="K32" s="1128"/>
      <c r="L32" s="1128"/>
      <c r="M32" s="1128"/>
      <c r="N32" s="666"/>
      <c r="O32" s="666"/>
      <c r="P32" s="666"/>
    </row>
    <row r="33" spans="1:21" s="189" customFormat="1" ht="12.75" customHeight="1">
      <c r="A33" s="115"/>
      <c r="B33" s="1128"/>
      <c r="C33" s="1128"/>
      <c r="D33" s="1128"/>
      <c r="E33" s="1128"/>
      <c r="F33" s="1128"/>
      <c r="G33" s="1128"/>
      <c r="H33" s="1128"/>
      <c r="I33" s="1128"/>
      <c r="J33" s="1128"/>
      <c r="K33" s="1128"/>
      <c r="L33" s="1128"/>
      <c r="M33" s="1128"/>
      <c r="N33" s="764"/>
      <c r="O33" s="764"/>
      <c r="P33" s="764"/>
    </row>
    <row r="34" spans="1:21" s="189" customFormat="1" ht="12.75" customHeight="1">
      <c r="A34" s="115"/>
      <c r="B34" s="765"/>
      <c r="C34" s="765"/>
      <c r="D34" s="765"/>
      <c r="E34" s="765"/>
      <c r="F34" s="765"/>
      <c r="G34" s="765"/>
      <c r="H34" s="765"/>
      <c r="I34" s="765"/>
      <c r="J34" s="765"/>
      <c r="K34" s="765"/>
      <c r="L34" s="765"/>
      <c r="M34" s="765"/>
      <c r="N34" s="767"/>
      <c r="O34" s="767"/>
      <c r="P34" s="767"/>
    </row>
    <row r="35" spans="1:21" s="189" customFormat="1" ht="12.75" customHeight="1">
      <c r="A35" s="115"/>
      <c r="B35" s="1128" t="s">
        <v>320</v>
      </c>
      <c r="C35" s="1120"/>
      <c r="D35" s="1120"/>
      <c r="E35" s="1120"/>
      <c r="F35" s="1120"/>
      <c r="G35" s="1120"/>
      <c r="H35" s="1120"/>
      <c r="I35" s="1120"/>
      <c r="J35" s="1196"/>
      <c r="K35" s="1196"/>
      <c r="L35" s="1196"/>
      <c r="M35" s="1196"/>
      <c r="N35" s="666"/>
      <c r="O35" s="666"/>
      <c r="P35" s="666"/>
    </row>
    <row r="36" spans="1:21" s="189" customFormat="1" ht="12.75" customHeight="1">
      <c r="A36" s="115"/>
      <c r="B36" s="1120"/>
      <c r="C36" s="1120"/>
      <c r="D36" s="1120"/>
      <c r="E36" s="1120"/>
      <c r="F36" s="1120"/>
      <c r="G36" s="1120"/>
      <c r="H36" s="1120"/>
      <c r="I36" s="1120"/>
      <c r="J36" s="1196"/>
      <c r="K36" s="1196"/>
      <c r="L36" s="1196"/>
      <c r="M36" s="1196"/>
      <c r="N36" s="666"/>
      <c r="O36" s="666"/>
      <c r="P36" s="666"/>
    </row>
    <row r="37" spans="1:21" s="189" customFormat="1" ht="12.75" customHeight="1">
      <c r="A37" s="115"/>
    </row>
    <row r="38" spans="1:21" s="189" customFormat="1" ht="12.75" customHeight="1">
      <c r="A38" s="1055">
        <f>A24+0.1</f>
        <v>13.1</v>
      </c>
      <c r="B38" s="1056" t="s">
        <v>356</v>
      </c>
      <c r="C38" s="207"/>
      <c r="D38" s="207"/>
      <c r="E38" s="207"/>
      <c r="F38" s="207"/>
      <c r="G38" s="207"/>
      <c r="H38" s="207"/>
      <c r="I38" s="207"/>
      <c r="J38" s="207"/>
      <c r="K38" s="207"/>
      <c r="L38" s="207"/>
      <c r="M38" s="207"/>
      <c r="N38" s="207"/>
      <c r="O38" s="207"/>
      <c r="P38" s="207"/>
    </row>
    <row r="39" spans="1:21" s="129" customFormat="1" ht="15" customHeight="1">
      <c r="A39" s="1057"/>
      <c r="B39" s="1056"/>
      <c r="C39" s="207"/>
      <c r="D39" s="207"/>
      <c r="E39" s="207"/>
      <c r="F39" s="207"/>
      <c r="G39" s="207"/>
      <c r="H39" s="207"/>
      <c r="I39" s="207"/>
      <c r="J39" s="207"/>
      <c r="K39" s="207"/>
      <c r="L39" s="207"/>
      <c r="M39" s="207"/>
      <c r="N39" s="208"/>
      <c r="O39" s="208"/>
      <c r="P39" s="208"/>
    </row>
    <row r="40" spans="1:21" s="256" customFormat="1">
      <c r="A40" s="58"/>
      <c r="B40" s="1058"/>
      <c r="C40" s="1187" t="s">
        <v>499</v>
      </c>
      <c r="D40" s="1188"/>
      <c r="E40" s="1188"/>
      <c r="F40" s="1188"/>
      <c r="G40" s="1188"/>
      <c r="H40" s="1188"/>
      <c r="I40" s="1188"/>
      <c r="J40" s="1188"/>
      <c r="K40" s="1188"/>
      <c r="L40" s="1188"/>
      <c r="M40" s="1189"/>
      <c r="N40" s="744"/>
      <c r="O40" s="744"/>
      <c r="P40" s="744"/>
    </row>
    <row r="41" spans="1:21" s="46" customFormat="1" ht="14.25" customHeight="1">
      <c r="B41" s="730"/>
      <c r="C41" s="1190" t="s">
        <v>501</v>
      </c>
      <c r="D41" s="1182" t="s">
        <v>142</v>
      </c>
      <c r="E41" s="1182" t="s">
        <v>143</v>
      </c>
      <c r="F41" s="1182" t="s">
        <v>144</v>
      </c>
      <c r="G41" s="1182" t="s">
        <v>500</v>
      </c>
      <c r="H41" s="731"/>
      <c r="I41" s="1182" t="str">
        <f>C41</f>
        <v>As at 
July 01, 2021</v>
      </c>
      <c r="J41" s="1182" t="s">
        <v>142</v>
      </c>
      <c r="K41" s="1182" t="s">
        <v>143</v>
      </c>
      <c r="L41" s="1182" t="s">
        <v>144</v>
      </c>
      <c r="M41" s="1182" t="str">
        <f>G41</f>
        <v>As at 31 March  2022</v>
      </c>
      <c r="N41" s="732"/>
      <c r="O41" s="732"/>
      <c r="P41" s="732"/>
    </row>
    <row r="42" spans="1:21" s="46" customFormat="1" ht="19.5" customHeight="1">
      <c r="B42" s="730"/>
      <c r="C42" s="1191"/>
      <c r="D42" s="1182"/>
      <c r="E42" s="1182"/>
      <c r="F42" s="1182"/>
      <c r="G42" s="1182"/>
      <c r="H42" s="731"/>
      <c r="I42" s="1182"/>
      <c r="J42" s="1182"/>
      <c r="K42" s="1182"/>
      <c r="L42" s="1182"/>
      <c r="M42" s="1182"/>
      <c r="N42" s="732"/>
      <c r="O42" s="732"/>
      <c r="P42" s="732"/>
    </row>
    <row r="43" spans="1:21" s="46" customFormat="1" ht="14.25" customHeight="1">
      <c r="B43" s="730"/>
      <c r="C43" s="1192"/>
      <c r="D43" s="1182"/>
      <c r="E43" s="1182"/>
      <c r="F43" s="1182"/>
      <c r="G43" s="1182"/>
      <c r="H43" s="731"/>
      <c r="I43" s="1182"/>
      <c r="J43" s="1182"/>
      <c r="K43" s="1182"/>
      <c r="L43" s="1182"/>
      <c r="M43" s="1182"/>
      <c r="N43" s="732"/>
      <c r="O43" s="732"/>
      <c r="P43" s="732"/>
    </row>
    <row r="44" spans="1:21" s="46" customFormat="1" ht="14.1" hidden="1" customHeight="1">
      <c r="B44" s="730"/>
      <c r="C44" s="732"/>
      <c r="D44" s="732"/>
      <c r="E44" s="732"/>
      <c r="F44" s="732"/>
      <c r="G44" s="732"/>
      <c r="H44" s="731"/>
      <c r="I44" s="732"/>
      <c r="J44" s="732"/>
      <c r="K44" s="732"/>
      <c r="L44" s="732"/>
      <c r="M44" s="732"/>
      <c r="N44" s="732"/>
      <c r="O44" s="732"/>
      <c r="P44" s="732"/>
    </row>
    <row r="45" spans="1:21" s="46" customFormat="1">
      <c r="B45" s="730"/>
      <c r="C45" s="1185" t="s">
        <v>346</v>
      </c>
      <c r="D45" s="1185"/>
      <c r="E45" s="1185"/>
      <c r="F45" s="1185"/>
      <c r="G45" s="1185"/>
      <c r="H45" s="730"/>
      <c r="I45" s="1186" t="s">
        <v>145</v>
      </c>
      <c r="J45" s="1186"/>
      <c r="K45" s="1186"/>
      <c r="L45" s="1186"/>
      <c r="M45" s="1186"/>
      <c r="N45" s="735"/>
      <c r="O45" s="735"/>
      <c r="P45" s="735"/>
    </row>
    <row r="46" spans="1:21" s="46" customFormat="1">
      <c r="B46" s="730"/>
      <c r="C46" s="733"/>
      <c r="D46" s="734"/>
      <c r="E46" s="734"/>
      <c r="F46" s="734"/>
      <c r="G46" s="734"/>
      <c r="H46" s="734"/>
      <c r="I46" s="734"/>
      <c r="J46" s="734"/>
      <c r="K46" s="734"/>
      <c r="L46" s="734"/>
      <c r="M46" s="734"/>
      <c r="N46" s="734"/>
      <c r="O46" s="734"/>
      <c r="P46" s="734"/>
    </row>
    <row r="47" spans="1:21" s="71" customFormat="1">
      <c r="B47" s="763"/>
      <c r="C47" s="1065"/>
      <c r="D47" s="1065"/>
      <c r="E47" s="1065"/>
      <c r="F47" s="1065"/>
      <c r="G47" s="1065"/>
      <c r="H47" s="1065"/>
      <c r="I47" s="1065"/>
      <c r="J47" s="1065"/>
      <c r="K47" s="1065"/>
      <c r="L47" s="1065"/>
      <c r="M47" s="1065"/>
      <c r="N47" s="739"/>
      <c r="O47" s="739"/>
      <c r="P47" s="739"/>
      <c r="T47" s="46"/>
      <c r="U47" s="46"/>
    </row>
    <row r="48" spans="1:21" s="46" customFormat="1">
      <c r="B48" s="762" t="s">
        <v>362</v>
      </c>
      <c r="C48" s="1063"/>
      <c r="D48" s="1062"/>
      <c r="E48" s="1062"/>
      <c r="F48" s="1062"/>
      <c r="G48" s="1063"/>
      <c r="H48" s="1063"/>
      <c r="I48" s="1063"/>
      <c r="J48" s="1064"/>
      <c r="K48" s="1064"/>
      <c r="L48" s="1064"/>
      <c r="M48" s="1063"/>
      <c r="N48" s="736"/>
      <c r="O48" s="736"/>
      <c r="P48" s="736"/>
    </row>
    <row r="49" spans="1:21" s="46" customFormat="1">
      <c r="B49" s="771" t="s">
        <v>557</v>
      </c>
      <c r="C49" s="1063">
        <v>0</v>
      </c>
      <c r="D49" s="1062">
        <v>404429</v>
      </c>
      <c r="E49" s="1062"/>
      <c r="F49" s="1062">
        <v>0</v>
      </c>
      <c r="G49" s="1062">
        <f>C49+D49-F49</f>
        <v>404429</v>
      </c>
      <c r="H49" s="1063"/>
      <c r="I49" s="1063">
        <v>0</v>
      </c>
      <c r="J49" s="1064">
        <v>40245</v>
      </c>
      <c r="K49" s="1064"/>
      <c r="L49" s="1064">
        <v>0</v>
      </c>
      <c r="M49" s="1064">
        <f>G49*99.51/1000</f>
        <v>40244.729789999998</v>
      </c>
      <c r="N49" s="736"/>
      <c r="O49" s="736"/>
      <c r="P49" s="736"/>
      <c r="Q49" s="46">
        <v>115319982.3</v>
      </c>
      <c r="S49" s="46">
        <v>-115319982.29000001</v>
      </c>
      <c r="T49" s="46">
        <f t="shared" ref="T49" si="0">Q49/1000</f>
        <v>115319.9823</v>
      </c>
      <c r="U49" s="46">
        <f t="shared" ref="U49" si="1">S49/1000</f>
        <v>-115319.98229</v>
      </c>
    </row>
    <row r="50" spans="1:21" s="46" customFormat="1">
      <c r="B50" s="730"/>
      <c r="C50" s="1051"/>
      <c r="D50" s="1051"/>
      <c r="E50" s="1051"/>
      <c r="F50" s="1051"/>
      <c r="G50" s="1051"/>
      <c r="H50" s="730"/>
      <c r="I50" s="1052"/>
      <c r="J50" s="1052"/>
      <c r="K50" s="1052"/>
      <c r="L50" s="1052"/>
      <c r="M50" s="1052"/>
      <c r="N50" s="787"/>
      <c r="O50" s="787"/>
      <c r="P50" s="787"/>
    </row>
    <row r="51" spans="1:21" s="46" customFormat="1" ht="14.25" customHeight="1">
      <c r="B51" s="1059" t="s">
        <v>408</v>
      </c>
      <c r="C51" s="736">
        <v>14710.4447</v>
      </c>
      <c r="D51" s="1060">
        <v>299548</v>
      </c>
      <c r="E51" s="1051"/>
      <c r="F51" s="1060">
        <v>270701.89999999997</v>
      </c>
      <c r="G51" s="1062">
        <f>C51+D51-F51</f>
        <v>43556.544700000028</v>
      </c>
      <c r="H51" s="730"/>
      <c r="I51" s="736">
        <f>+C51*BS!I40/1000</f>
        <v>1463.8363520969999</v>
      </c>
      <c r="J51" s="1061">
        <v>29808.05558</v>
      </c>
      <c r="K51" s="1052"/>
      <c r="L51" s="1061">
        <v>26937.54592</v>
      </c>
      <c r="M51" s="736">
        <f>G51*99.51/1000</f>
        <v>4334.3117630970028</v>
      </c>
      <c r="N51" s="736"/>
      <c r="O51" s="736"/>
      <c r="P51" s="736"/>
    </row>
    <row r="52" spans="1:21" s="46" customFormat="1">
      <c r="B52" s="730"/>
      <c r="C52" s="733"/>
      <c r="D52" s="734"/>
      <c r="E52" s="734"/>
      <c r="F52" s="734"/>
      <c r="G52" s="734"/>
      <c r="H52" s="734"/>
      <c r="I52" s="734"/>
      <c r="J52" s="734"/>
      <c r="K52" s="734"/>
      <c r="L52" s="734"/>
      <c r="M52" s="734"/>
      <c r="N52" s="734"/>
      <c r="O52" s="734"/>
      <c r="P52" s="734"/>
    </row>
    <row r="53" spans="1:21" s="46" customFormat="1" ht="27" customHeight="1">
      <c r="B53" s="1066" t="s">
        <v>407</v>
      </c>
      <c r="C53" s="740">
        <v>0</v>
      </c>
      <c r="D53" s="740">
        <v>445729</v>
      </c>
      <c r="E53" s="740"/>
      <c r="F53" s="740">
        <v>342755.67599999998</v>
      </c>
      <c r="G53" s="1060">
        <f>C53+D53-F53</f>
        <v>102973.32400000002</v>
      </c>
      <c r="H53" s="741"/>
      <c r="I53" s="739">
        <v>0</v>
      </c>
      <c r="J53" s="742">
        <v>44354.468369999995</v>
      </c>
      <c r="K53" s="742"/>
      <c r="L53" s="742">
        <v>34107.61722</v>
      </c>
      <c r="M53" s="739">
        <f>G53*99.51/1000</f>
        <v>10246.875471240002</v>
      </c>
      <c r="N53" s="739"/>
      <c r="O53" s="739"/>
      <c r="P53" s="739"/>
    </row>
    <row r="54" spans="1:21" s="46" customFormat="1">
      <c r="B54" s="1066"/>
      <c r="C54" s="740"/>
      <c r="D54" s="740"/>
      <c r="E54" s="740"/>
      <c r="F54" s="740"/>
      <c r="G54" s="737"/>
      <c r="H54" s="741"/>
      <c r="I54" s="739"/>
      <c r="J54" s="742"/>
      <c r="K54" s="742"/>
      <c r="L54" s="742"/>
      <c r="M54" s="739"/>
      <c r="N54" s="739"/>
      <c r="O54" s="739"/>
      <c r="P54" s="739"/>
    </row>
    <row r="55" spans="1:21" s="1067" customFormat="1" ht="24">
      <c r="A55" s="46"/>
      <c r="B55" s="1059" t="s">
        <v>406</v>
      </c>
      <c r="C55" s="1091">
        <v>112396782</v>
      </c>
      <c r="D55" s="737">
        <v>84766029.762000009</v>
      </c>
      <c r="E55" s="737"/>
      <c r="F55" s="737">
        <v>115828657</v>
      </c>
      <c r="G55" s="737">
        <f>C55+D55+E55-F55</f>
        <v>81334154.762000024</v>
      </c>
      <c r="H55" s="738"/>
      <c r="I55" s="1091">
        <f>+C55*BS!G40/1000</f>
        <v>11184603.77682</v>
      </c>
      <c r="J55" s="737">
        <f>6928282.2626+1506784</f>
        <v>8435066.2626000009</v>
      </c>
      <c r="K55" s="737"/>
      <c r="L55" s="737">
        <f>5785164.86843476+5750000</f>
        <v>11535164.868434761</v>
      </c>
      <c r="M55" s="739">
        <f>G55*99.51/1000</f>
        <v>8093561.7403666228</v>
      </c>
      <c r="N55" s="1068"/>
      <c r="O55" s="1068"/>
      <c r="P55" s="1068"/>
    </row>
    <row r="56" spans="1:21" s="46" customFormat="1">
      <c r="B56" s="1066"/>
      <c r="C56" s="740"/>
      <c r="D56" s="740"/>
      <c r="E56" s="740"/>
      <c r="F56" s="740"/>
      <c r="G56" s="737"/>
      <c r="H56" s="741"/>
      <c r="I56" s="739"/>
      <c r="J56" s="742"/>
      <c r="K56" s="742"/>
      <c r="L56" s="742"/>
      <c r="M56" s="739"/>
      <c r="N56" s="739"/>
      <c r="O56" s="739"/>
      <c r="P56" s="739"/>
    </row>
    <row r="57" spans="1:21" s="46" customFormat="1" ht="14.1" customHeight="1">
      <c r="B57" s="814" t="s">
        <v>502</v>
      </c>
      <c r="C57" s="740"/>
      <c r="D57" s="740"/>
      <c r="E57" s="740"/>
      <c r="F57" s="740"/>
      <c r="G57" s="737"/>
      <c r="H57" s="741"/>
      <c r="I57" s="739"/>
      <c r="J57" s="742"/>
      <c r="K57" s="742"/>
      <c r="L57" s="742"/>
      <c r="M57" s="739"/>
      <c r="N57" s="739"/>
      <c r="O57" s="739"/>
      <c r="P57" s="739"/>
    </row>
    <row r="58" spans="1:21" s="46" customFormat="1" ht="14.1" customHeight="1">
      <c r="B58" s="814"/>
      <c r="C58" s="740"/>
      <c r="D58" s="740"/>
      <c r="E58" s="740"/>
      <c r="F58" s="740"/>
      <c r="G58" s="737"/>
      <c r="H58" s="741"/>
      <c r="I58" s="739"/>
      <c r="J58" s="742"/>
      <c r="K58" s="742"/>
      <c r="L58" s="742"/>
      <c r="M58" s="739"/>
      <c r="N58" s="739"/>
      <c r="O58" s="739"/>
      <c r="P58" s="739"/>
    </row>
    <row r="59" spans="1:21" s="46" customFormat="1" ht="14.1" customHeight="1">
      <c r="B59" s="814"/>
      <c r="C59" s="740"/>
      <c r="D59" s="740"/>
      <c r="E59" s="740"/>
      <c r="F59" s="740"/>
      <c r="G59" s="737"/>
      <c r="H59" s="741"/>
      <c r="I59" s="739"/>
      <c r="J59" s="742"/>
      <c r="K59" s="742"/>
      <c r="L59" s="742"/>
      <c r="M59" s="739"/>
      <c r="N59" s="739"/>
      <c r="O59" s="739"/>
      <c r="P59" s="739"/>
    </row>
    <row r="60" spans="1:21" s="46" customFormat="1" ht="14.1" customHeight="1">
      <c r="B60" s="814"/>
      <c r="C60" s="740"/>
      <c r="D60" s="740"/>
      <c r="E60" s="740"/>
      <c r="F60" s="740"/>
      <c r="G60" s="737"/>
      <c r="H60" s="741"/>
      <c r="I60" s="739"/>
      <c r="J60" s="742"/>
      <c r="K60" s="742"/>
      <c r="L60" s="742"/>
      <c r="M60" s="739"/>
      <c r="N60" s="739"/>
      <c r="O60" s="739"/>
      <c r="P60" s="739"/>
    </row>
    <row r="61" spans="1:21" s="46" customFormat="1" ht="14.1" customHeight="1">
      <c r="B61" s="729"/>
      <c r="C61" s="1187" t="s">
        <v>396</v>
      </c>
      <c r="D61" s="1188"/>
      <c r="E61" s="1188"/>
      <c r="F61" s="1188"/>
      <c r="G61" s="1188"/>
      <c r="H61" s="1188"/>
      <c r="I61" s="1188"/>
      <c r="J61" s="1188"/>
      <c r="K61" s="1188"/>
      <c r="L61" s="1188"/>
      <c r="M61" s="1189"/>
      <c r="N61" s="739"/>
      <c r="O61" s="739"/>
      <c r="P61" s="739"/>
    </row>
    <row r="62" spans="1:21" s="46" customFormat="1" ht="14.1" customHeight="1">
      <c r="B62" s="730"/>
      <c r="C62" s="1190" t="s">
        <v>288</v>
      </c>
      <c r="D62" s="1182" t="s">
        <v>142</v>
      </c>
      <c r="E62" s="1182" t="s">
        <v>143</v>
      </c>
      <c r="F62" s="1182" t="s">
        <v>144</v>
      </c>
      <c r="G62" s="1182" t="s">
        <v>388</v>
      </c>
      <c r="H62" s="731"/>
      <c r="I62" s="1182" t="str">
        <f>C62</f>
        <v>As at 
July 01, 2020</v>
      </c>
      <c r="J62" s="1182" t="s">
        <v>142</v>
      </c>
      <c r="K62" s="1182" t="s">
        <v>143</v>
      </c>
      <c r="L62" s="1182" t="s">
        <v>144</v>
      </c>
      <c r="M62" s="1182" t="str">
        <f>G62</f>
        <v>As at 31 March  2021</v>
      </c>
      <c r="N62" s="739"/>
      <c r="O62" s="739"/>
      <c r="P62" s="739"/>
    </row>
    <row r="63" spans="1:21" s="46" customFormat="1" ht="14.1" customHeight="1">
      <c r="B63" s="730"/>
      <c r="C63" s="1191"/>
      <c r="D63" s="1182"/>
      <c r="E63" s="1182"/>
      <c r="F63" s="1182"/>
      <c r="G63" s="1182"/>
      <c r="H63" s="731"/>
      <c r="I63" s="1182"/>
      <c r="J63" s="1182"/>
      <c r="K63" s="1182"/>
      <c r="L63" s="1182"/>
      <c r="M63" s="1182"/>
      <c r="N63" s="739"/>
      <c r="O63" s="739"/>
      <c r="P63" s="739"/>
    </row>
    <row r="64" spans="1:21" s="46" customFormat="1" ht="14.1" customHeight="1">
      <c r="B64" s="730"/>
      <c r="C64" s="1192"/>
      <c r="D64" s="1182"/>
      <c r="E64" s="1182"/>
      <c r="F64" s="1182"/>
      <c r="G64" s="1182"/>
      <c r="H64" s="731"/>
      <c r="I64" s="1182"/>
      <c r="J64" s="1182"/>
      <c r="K64" s="1182"/>
      <c r="L64" s="1182"/>
      <c r="M64" s="1182"/>
      <c r="N64" s="739"/>
      <c r="O64" s="739"/>
      <c r="P64" s="739"/>
    </row>
    <row r="65" spans="2:16" s="46" customFormat="1" ht="14.1" customHeight="1">
      <c r="B65" s="730"/>
      <c r="C65" s="732"/>
      <c r="D65" s="732"/>
      <c r="E65" s="732"/>
      <c r="F65" s="732"/>
      <c r="G65" s="732"/>
      <c r="H65" s="731"/>
      <c r="I65" s="732"/>
      <c r="J65" s="732"/>
      <c r="K65" s="732"/>
      <c r="L65" s="732"/>
      <c r="M65" s="732"/>
      <c r="N65" s="739"/>
      <c r="O65" s="739"/>
      <c r="P65" s="739"/>
    </row>
    <row r="66" spans="2:16" s="46" customFormat="1" ht="14.1" customHeight="1">
      <c r="B66" s="730"/>
      <c r="C66" s="1185" t="s">
        <v>346</v>
      </c>
      <c r="D66" s="1185"/>
      <c r="E66" s="1185"/>
      <c r="F66" s="1185"/>
      <c r="G66" s="1185"/>
      <c r="H66" s="730"/>
      <c r="I66" s="1186" t="s">
        <v>145</v>
      </c>
      <c r="J66" s="1186"/>
      <c r="K66" s="1186"/>
      <c r="L66" s="1186"/>
      <c r="M66" s="1186"/>
      <c r="N66" s="739"/>
      <c r="O66" s="739"/>
      <c r="P66" s="739"/>
    </row>
    <row r="67" spans="2:16" s="46" customFormat="1" ht="14.1" customHeight="1">
      <c r="B67" s="730"/>
      <c r="C67" s="733"/>
      <c r="D67" s="734"/>
      <c r="E67" s="734"/>
      <c r="F67" s="734"/>
      <c r="G67" s="734"/>
      <c r="H67" s="734"/>
      <c r="I67" s="734"/>
      <c r="J67" s="734"/>
      <c r="K67" s="734"/>
      <c r="L67" s="734"/>
      <c r="M67" s="734"/>
      <c r="N67" s="739"/>
      <c r="O67" s="739"/>
      <c r="P67" s="739"/>
    </row>
    <row r="68" spans="2:16" s="46" customFormat="1" ht="14.1" customHeight="1">
      <c r="B68" s="894" t="s">
        <v>289</v>
      </c>
      <c r="C68" s="895"/>
      <c r="D68" s="895"/>
      <c r="E68" s="895"/>
      <c r="F68" s="895"/>
      <c r="G68" s="895"/>
      <c r="H68" s="730"/>
      <c r="I68" s="896"/>
      <c r="J68" s="896"/>
      <c r="K68" s="896"/>
      <c r="L68" s="896"/>
      <c r="M68" s="896"/>
      <c r="N68" s="739"/>
      <c r="O68" s="739"/>
      <c r="P68" s="739"/>
    </row>
    <row r="69" spans="2:16" s="46" customFormat="1" ht="14.1" customHeight="1">
      <c r="B69" s="770" t="s">
        <v>357</v>
      </c>
      <c r="C69" s="897"/>
      <c r="D69" s="898"/>
      <c r="E69" s="895"/>
      <c r="F69" s="898"/>
      <c r="G69" s="898"/>
      <c r="H69" s="730"/>
      <c r="I69" s="897"/>
      <c r="J69" s="899"/>
      <c r="K69" s="899"/>
      <c r="L69" s="899"/>
      <c r="M69" s="897"/>
      <c r="N69" s="739"/>
      <c r="O69" s="739"/>
      <c r="P69" s="739"/>
    </row>
    <row r="70" spans="2:16" s="46" customFormat="1" ht="14.1" customHeight="1">
      <c r="B70" s="771" t="s">
        <v>369</v>
      </c>
      <c r="C70" s="900">
        <v>0</v>
      </c>
      <c r="D70" s="900">
        <f>18749613.36+11856.94+2258.8</f>
        <v>18763729.100000001</v>
      </c>
      <c r="E70" s="900"/>
      <c r="F70" s="900">
        <f>17214480.49+1549248.61</f>
        <v>18763729.099999998</v>
      </c>
      <c r="G70" s="900">
        <f>C70+D70-F70</f>
        <v>0</v>
      </c>
      <c r="H70" s="901"/>
      <c r="I70" s="902">
        <v>0</v>
      </c>
      <c r="J70" s="902">
        <v>1867665.4566300001</v>
      </c>
      <c r="K70" s="902"/>
      <c r="L70" s="902">
        <v>1867631.5438299999</v>
      </c>
      <c r="M70" s="902">
        <f>G70*99.51/1000</f>
        <v>0</v>
      </c>
      <c r="N70" s="739"/>
      <c r="O70" s="739"/>
      <c r="P70" s="739"/>
    </row>
    <row r="71" spans="2:16" s="46" customFormat="1" ht="14.1" customHeight="1">
      <c r="B71" s="771"/>
      <c r="C71" s="900"/>
      <c r="D71" s="900"/>
      <c r="E71" s="900"/>
      <c r="F71" s="900"/>
      <c r="G71" s="900"/>
      <c r="H71" s="901"/>
      <c r="I71" s="902"/>
      <c r="J71" s="902"/>
      <c r="K71" s="902"/>
      <c r="L71" s="902"/>
      <c r="M71" s="902"/>
      <c r="N71" s="739"/>
      <c r="O71" s="739"/>
      <c r="P71" s="739"/>
    </row>
    <row r="72" spans="2:16" s="46" customFormat="1" ht="14.1" customHeight="1">
      <c r="B72" s="763" t="s">
        <v>358</v>
      </c>
      <c r="C72" s="901"/>
      <c r="D72" s="901"/>
      <c r="E72" s="901"/>
      <c r="F72" s="901"/>
      <c r="G72" s="901"/>
      <c r="H72" s="901"/>
      <c r="I72" s="901"/>
      <c r="J72" s="901"/>
      <c r="K72" s="901"/>
      <c r="L72" s="901"/>
      <c r="M72" s="901"/>
      <c r="N72" s="739"/>
      <c r="O72" s="739"/>
      <c r="P72" s="739"/>
    </row>
    <row r="73" spans="2:16" s="46" customFormat="1" ht="14.1" customHeight="1">
      <c r="B73" s="772" t="s">
        <v>359</v>
      </c>
      <c r="C73" s="900"/>
      <c r="D73" s="900"/>
      <c r="E73" s="900"/>
      <c r="F73" s="900"/>
      <c r="G73" s="901"/>
      <c r="H73" s="901"/>
      <c r="I73" s="901"/>
      <c r="J73" s="902"/>
      <c r="K73" s="902"/>
      <c r="L73" s="902"/>
      <c r="M73" s="901"/>
      <c r="N73" s="739"/>
      <c r="O73" s="739"/>
      <c r="P73" s="739"/>
    </row>
    <row r="74" spans="2:16" s="46" customFormat="1" ht="14.1" customHeight="1">
      <c r="B74" s="772" t="s">
        <v>360</v>
      </c>
      <c r="C74" s="900">
        <v>0</v>
      </c>
      <c r="D74" s="900">
        <v>198377.85800000001</v>
      </c>
      <c r="E74" s="900"/>
      <c r="F74" s="900">
        <v>198377.85699999999</v>
      </c>
      <c r="G74" s="900">
        <v>0</v>
      </c>
      <c r="H74" s="901"/>
      <c r="I74" s="901">
        <v>0</v>
      </c>
      <c r="J74" s="902">
        <v>19740.580559999999</v>
      </c>
      <c r="K74" s="902"/>
      <c r="L74" s="902">
        <v>19740.580559999999</v>
      </c>
      <c r="M74" s="902">
        <f>G74*99.51/1000</f>
        <v>0</v>
      </c>
      <c r="N74" s="739"/>
      <c r="O74" s="739"/>
      <c r="P74" s="739"/>
    </row>
    <row r="75" spans="2:16" s="46" customFormat="1" ht="14.1" customHeight="1">
      <c r="B75" s="763"/>
      <c r="C75" s="900"/>
      <c r="D75" s="900"/>
      <c r="E75" s="900"/>
      <c r="F75" s="900"/>
      <c r="G75" s="901"/>
      <c r="H75" s="901"/>
      <c r="I75" s="901"/>
      <c r="J75" s="902"/>
      <c r="K75" s="902"/>
      <c r="L75" s="902"/>
      <c r="M75" s="901"/>
      <c r="N75" s="739"/>
      <c r="O75" s="739"/>
      <c r="P75" s="739"/>
    </row>
    <row r="76" spans="2:16" s="46" customFormat="1" ht="14.1" customHeight="1">
      <c r="B76" s="762" t="s">
        <v>358</v>
      </c>
      <c r="C76" s="900"/>
      <c r="D76" s="900"/>
      <c r="E76" s="900"/>
      <c r="F76" s="900"/>
      <c r="G76" s="901"/>
      <c r="H76" s="901"/>
      <c r="I76" s="901"/>
      <c r="J76" s="902"/>
      <c r="K76" s="902"/>
      <c r="L76" s="902"/>
      <c r="M76" s="901"/>
      <c r="N76" s="739"/>
      <c r="O76" s="739"/>
      <c r="P76" s="739"/>
    </row>
    <row r="77" spans="2:16" s="46" customFormat="1" ht="14.1" customHeight="1">
      <c r="B77" s="772" t="s">
        <v>361</v>
      </c>
      <c r="C77" s="903">
        <v>0</v>
      </c>
      <c r="D77" s="903">
        <v>396424.35700000002</v>
      </c>
      <c r="E77" s="903"/>
      <c r="F77" s="903">
        <v>396424.35700000002</v>
      </c>
      <c r="G77" s="900">
        <f>C77+D77-F77</f>
        <v>0</v>
      </c>
      <c r="H77" s="903"/>
      <c r="I77" s="903">
        <v>0</v>
      </c>
      <c r="J77" s="903">
        <v>39448.187760000008</v>
      </c>
      <c r="K77" s="903"/>
      <c r="L77" s="903">
        <v>39448.187760000001</v>
      </c>
      <c r="M77" s="902">
        <f>G77*99.51/1000</f>
        <v>0</v>
      </c>
      <c r="N77" s="739"/>
      <c r="O77" s="739"/>
      <c r="P77" s="739"/>
    </row>
    <row r="78" spans="2:16" s="46" customFormat="1" ht="14.1" customHeight="1">
      <c r="B78" s="772" t="s">
        <v>402</v>
      </c>
      <c r="C78" s="903"/>
      <c r="D78" s="903"/>
      <c r="E78" s="903"/>
      <c r="F78" s="903"/>
      <c r="G78" s="903"/>
      <c r="H78" s="903"/>
      <c r="I78" s="903"/>
      <c r="J78" s="903"/>
      <c r="K78" s="903"/>
      <c r="L78" s="903"/>
      <c r="M78" s="903"/>
      <c r="N78" s="739"/>
      <c r="O78" s="739"/>
      <c r="P78" s="739"/>
    </row>
    <row r="79" spans="2:16" s="46" customFormat="1" ht="14.1" customHeight="1">
      <c r="B79" s="763"/>
      <c r="C79" s="903"/>
      <c r="D79" s="903"/>
      <c r="E79" s="903"/>
      <c r="F79" s="903"/>
      <c r="G79" s="903"/>
      <c r="H79" s="903"/>
      <c r="I79" s="903"/>
      <c r="J79" s="903"/>
      <c r="K79" s="903"/>
      <c r="L79" s="903"/>
      <c r="M79" s="903"/>
      <c r="N79" s="739"/>
      <c r="O79" s="739"/>
      <c r="P79" s="739"/>
    </row>
    <row r="80" spans="2:16" s="46" customFormat="1" ht="14.1" customHeight="1">
      <c r="B80" s="762" t="s">
        <v>362</v>
      </c>
      <c r="C80" s="901"/>
      <c r="D80" s="900"/>
      <c r="E80" s="900"/>
      <c r="F80" s="900"/>
      <c r="G80" s="901"/>
      <c r="H80" s="901"/>
      <c r="I80" s="901"/>
      <c r="J80" s="902"/>
      <c r="K80" s="902"/>
      <c r="L80" s="902"/>
      <c r="M80" s="901"/>
      <c r="N80" s="739"/>
      <c r="O80" s="739"/>
      <c r="P80" s="739"/>
    </row>
    <row r="81" spans="1:16" s="46" customFormat="1" ht="14.1" customHeight="1">
      <c r="B81" s="771" t="s">
        <v>403</v>
      </c>
      <c r="C81" s="901">
        <v>0</v>
      </c>
      <c r="D81" s="900">
        <v>1158878.3269999998</v>
      </c>
      <c r="E81" s="900"/>
      <c r="F81" s="900">
        <v>1158878.327</v>
      </c>
      <c r="G81" s="900">
        <f>C81+D81-F81</f>
        <v>0</v>
      </c>
      <c r="H81" s="901"/>
      <c r="I81" s="901">
        <v>0</v>
      </c>
      <c r="J81" s="902">
        <v>115319.9823</v>
      </c>
      <c r="K81" s="902"/>
      <c r="L81" s="902">
        <v>115319.98229</v>
      </c>
      <c r="M81" s="902">
        <f>G81*99.51/1000</f>
        <v>0</v>
      </c>
      <c r="N81" s="739"/>
      <c r="O81" s="739"/>
      <c r="P81" s="739"/>
    </row>
    <row r="82" spans="1:16" s="46" customFormat="1" ht="14.1" customHeight="1">
      <c r="B82" s="730"/>
      <c r="C82" s="900"/>
      <c r="D82" s="900"/>
      <c r="E82" s="900"/>
      <c r="F82" s="900"/>
      <c r="G82" s="900"/>
      <c r="H82" s="901"/>
      <c r="I82" s="902"/>
      <c r="J82" s="902"/>
      <c r="K82" s="902"/>
      <c r="L82" s="902"/>
      <c r="M82" s="902"/>
      <c r="N82" s="739"/>
      <c r="O82" s="739"/>
      <c r="P82" s="739"/>
    </row>
    <row r="83" spans="1:16" s="46" customFormat="1" ht="14.1" customHeight="1">
      <c r="B83" s="730" t="s">
        <v>399</v>
      </c>
      <c r="C83" s="900"/>
      <c r="D83" s="900"/>
      <c r="E83" s="900"/>
      <c r="F83" s="900"/>
      <c r="G83" s="900"/>
      <c r="H83" s="901"/>
      <c r="I83" s="902"/>
      <c r="J83" s="902"/>
      <c r="K83" s="902"/>
      <c r="L83" s="902"/>
      <c r="M83" s="902"/>
      <c r="N83" s="739"/>
      <c r="O83" s="739"/>
      <c r="P83" s="739"/>
    </row>
    <row r="84" spans="1:16" s="46" customFormat="1" ht="14.1" customHeight="1">
      <c r="B84" s="730" t="s">
        <v>400</v>
      </c>
      <c r="C84" s="900">
        <v>0</v>
      </c>
      <c r="D84" s="900">
        <v>533187.69750000001</v>
      </c>
      <c r="E84" s="900"/>
      <c r="F84" s="900">
        <v>0</v>
      </c>
      <c r="G84" s="900">
        <f>C84+D84-F84</f>
        <v>533187.69750000001</v>
      </c>
      <c r="H84" s="901"/>
      <c r="I84" s="902">
        <v>0</v>
      </c>
      <c r="J84" s="902">
        <v>53057.50778</v>
      </c>
      <c r="K84" s="902"/>
      <c r="L84" s="902">
        <v>0</v>
      </c>
      <c r="M84" s="902">
        <f>G84*99.51/1000</f>
        <v>53057.507778225008</v>
      </c>
      <c r="N84" s="739"/>
      <c r="O84" s="739"/>
      <c r="P84" s="739"/>
    </row>
    <row r="85" spans="1:16" s="46" customFormat="1" ht="14.1" customHeight="1">
      <c r="B85" s="730" t="s">
        <v>401</v>
      </c>
      <c r="C85" s="895"/>
      <c r="D85" s="895"/>
      <c r="E85" s="895"/>
      <c r="F85" s="895"/>
      <c r="G85" s="895"/>
      <c r="H85" s="730"/>
      <c r="I85" s="896"/>
      <c r="J85" s="896"/>
      <c r="K85" s="896"/>
      <c r="L85" s="896"/>
      <c r="M85" s="896"/>
      <c r="N85" s="739"/>
      <c r="O85" s="739"/>
      <c r="P85" s="739"/>
    </row>
    <row r="86" spans="1:16" s="46" customFormat="1" ht="14.1" customHeight="1">
      <c r="B86" s="730"/>
      <c r="C86" s="895"/>
      <c r="D86" s="895"/>
      <c r="E86" s="895"/>
      <c r="F86" s="895"/>
      <c r="G86" s="895"/>
      <c r="H86" s="730"/>
      <c r="I86" s="896"/>
      <c r="J86" s="896"/>
      <c r="K86" s="896"/>
      <c r="L86" s="896"/>
      <c r="M86" s="896"/>
      <c r="N86" s="739"/>
      <c r="O86" s="739"/>
      <c r="P86" s="739"/>
    </row>
    <row r="87" spans="1:16" s="46" customFormat="1" ht="14.1" customHeight="1">
      <c r="B87" s="730"/>
      <c r="C87" s="895"/>
      <c r="D87" s="895"/>
      <c r="E87" s="895"/>
      <c r="F87" s="895"/>
      <c r="G87" s="895"/>
      <c r="H87" s="730"/>
      <c r="I87" s="896"/>
      <c r="J87" s="896"/>
      <c r="K87" s="896"/>
      <c r="L87" s="896"/>
      <c r="M87" s="896"/>
      <c r="N87" s="739"/>
      <c r="O87" s="739"/>
      <c r="P87" s="739"/>
    </row>
    <row r="88" spans="1:16" s="46" customFormat="1" ht="14.1" customHeight="1">
      <c r="B88" s="894" t="s">
        <v>408</v>
      </c>
      <c r="C88" s="897">
        <v>0</v>
      </c>
      <c r="D88" s="898">
        <v>354950.24139999994</v>
      </c>
      <c r="E88" s="895"/>
      <c r="F88" s="898">
        <v>347406.33100000001</v>
      </c>
      <c r="G88" s="900">
        <f>C88+D88-F88</f>
        <v>7543.9103999999352</v>
      </c>
      <c r="H88" s="730"/>
      <c r="I88" s="897">
        <v>0</v>
      </c>
      <c r="J88" s="899">
        <v>35273.429129999997</v>
      </c>
      <c r="K88" s="896"/>
      <c r="L88" s="899">
        <v>34632.43275</v>
      </c>
      <c r="M88" s="897">
        <f>G88*99.51/1000</f>
        <v>750.69452390399351</v>
      </c>
      <c r="N88" s="739"/>
      <c r="O88" s="739"/>
      <c r="P88" s="739"/>
    </row>
    <row r="89" spans="1:16" s="46" customFormat="1" ht="14.1" customHeight="1">
      <c r="B89" s="730"/>
      <c r="C89" s="904"/>
      <c r="D89" s="905"/>
      <c r="E89" s="905"/>
      <c r="F89" s="905"/>
      <c r="G89" s="905"/>
      <c r="H89" s="905"/>
      <c r="I89" s="905"/>
      <c r="J89" s="905"/>
      <c r="K89" s="905"/>
      <c r="L89" s="905"/>
      <c r="M89" s="905"/>
      <c r="N89" s="739"/>
      <c r="O89" s="739"/>
      <c r="P89" s="739"/>
    </row>
    <row r="90" spans="1:16" s="46" customFormat="1" ht="14.1" customHeight="1">
      <c r="B90" s="906" t="s">
        <v>407</v>
      </c>
      <c r="C90" s="907">
        <v>0</v>
      </c>
      <c r="D90" s="907">
        <v>82578990.243000001</v>
      </c>
      <c r="E90" s="907"/>
      <c r="F90" s="907">
        <v>82578990.243000001</v>
      </c>
      <c r="G90" s="898">
        <f>C90+D90-F90</f>
        <v>0</v>
      </c>
      <c r="H90" s="746"/>
      <c r="I90" s="908">
        <v>0</v>
      </c>
      <c r="J90" s="909">
        <f>8223600910.7/1000</f>
        <v>8223600.9106999999</v>
      </c>
      <c r="K90" s="909"/>
      <c r="L90" s="909">
        <f>8227994095.82/1000</f>
        <v>8227994.0958199995</v>
      </c>
      <c r="M90" s="908">
        <f>G90*99.51/1000</f>
        <v>0</v>
      </c>
      <c r="N90" s="739"/>
      <c r="O90" s="739"/>
      <c r="P90" s="739"/>
    </row>
    <row r="91" spans="1:16" s="58" customFormat="1" ht="14.1" customHeight="1">
      <c r="B91" s="906"/>
      <c r="C91" s="907"/>
      <c r="D91" s="907"/>
      <c r="E91" s="907"/>
      <c r="F91" s="907"/>
      <c r="G91" s="910"/>
      <c r="H91" s="746"/>
      <c r="I91" s="908"/>
      <c r="J91" s="909"/>
      <c r="K91" s="909"/>
      <c r="L91" s="909"/>
      <c r="M91" s="908"/>
      <c r="N91" s="745"/>
      <c r="O91" s="745"/>
      <c r="P91" s="745"/>
    </row>
    <row r="92" spans="1:16" s="46" customFormat="1" ht="14.1" customHeight="1">
      <c r="B92" s="894" t="s">
        <v>406</v>
      </c>
      <c r="C92" s="911">
        <v>0</v>
      </c>
      <c r="D92" s="910">
        <f>35480952.7725+30485503.703+25449606.874</f>
        <v>91416063.3495</v>
      </c>
      <c r="E92" s="910"/>
      <c r="F92" s="910">
        <v>0</v>
      </c>
      <c r="G92" s="910">
        <f>C92+D92+E92-F92</f>
        <v>91416063.3495</v>
      </c>
      <c r="H92" s="738"/>
      <c r="I92" s="911">
        <v>0</v>
      </c>
      <c r="J92" s="910">
        <f>(2532490380.04+3530709610.39+3033612473.49)/1000</f>
        <v>9096812.4639200009</v>
      </c>
      <c r="K92" s="910"/>
      <c r="L92" s="910">
        <v>0</v>
      </c>
      <c r="M92" s="908">
        <f>G92*99.51/1000</f>
        <v>9096812.463908745</v>
      </c>
      <c r="N92" s="743"/>
      <c r="O92" s="743"/>
      <c r="P92" s="743"/>
    </row>
    <row r="93" spans="1:16" s="46" customFormat="1" ht="14.1" customHeight="1">
      <c r="B93" s="906"/>
      <c r="C93" s="907"/>
      <c r="D93" s="907"/>
      <c r="E93" s="907"/>
      <c r="F93" s="907"/>
      <c r="G93" s="910"/>
      <c r="H93" s="746"/>
      <c r="I93" s="908"/>
      <c r="J93" s="909"/>
      <c r="K93" s="909"/>
      <c r="L93" s="909"/>
      <c r="M93" s="908"/>
      <c r="N93" s="743"/>
      <c r="O93" s="743"/>
      <c r="P93" s="743"/>
    </row>
    <row r="94" spans="1:16" s="46" customFormat="1" ht="14.1" customHeight="1">
      <c r="B94" s="912" t="s">
        <v>405</v>
      </c>
      <c r="C94" s="907"/>
      <c r="D94" s="907"/>
      <c r="E94" s="907"/>
      <c r="F94" s="907"/>
      <c r="G94" s="910"/>
      <c r="H94" s="746"/>
      <c r="I94" s="908"/>
      <c r="J94" s="909"/>
      <c r="K94" s="909"/>
      <c r="L94" s="909"/>
      <c r="M94" s="908"/>
      <c r="N94" s="743"/>
      <c r="O94" s="743"/>
      <c r="P94" s="743"/>
    </row>
    <row r="95" spans="1:16" s="46" customFormat="1" ht="14.25" hidden="1" customHeight="1">
      <c r="B95" s="814"/>
      <c r="C95" s="740"/>
      <c r="D95" s="740"/>
      <c r="E95" s="740"/>
      <c r="F95" s="740"/>
      <c r="G95" s="737"/>
      <c r="H95" s="741"/>
      <c r="I95" s="739"/>
      <c r="J95" s="742"/>
      <c r="K95" s="742"/>
      <c r="L95" s="742"/>
      <c r="M95" s="739"/>
      <c r="N95" s="743"/>
      <c r="O95" s="743"/>
      <c r="P95" s="743"/>
    </row>
    <row r="96" spans="1:16" s="602" customFormat="1">
      <c r="A96" s="813"/>
      <c r="B96" s="85"/>
      <c r="C96" s="85"/>
      <c r="D96" s="85"/>
      <c r="E96" s="85"/>
      <c r="F96" s="85"/>
      <c r="G96" s="85"/>
      <c r="H96" s="85"/>
      <c r="I96" s="85"/>
      <c r="J96" s="85"/>
      <c r="K96" s="85"/>
      <c r="L96" s="85"/>
      <c r="M96" s="85"/>
    </row>
    <row r="97" spans="1:1" s="602" customFormat="1">
      <c r="A97" s="603"/>
    </row>
    <row r="98" spans="1:1" s="134" customFormat="1">
      <c r="A98" s="183"/>
    </row>
    <row r="99" spans="1:1" s="134" customFormat="1">
      <c r="A99" s="183"/>
    </row>
    <row r="100" spans="1:1" s="46" customFormat="1" ht="12.75" customHeight="1">
      <c r="A100" s="55"/>
    </row>
    <row r="101" spans="1:1" s="46" customFormat="1">
      <c r="A101" s="55"/>
    </row>
    <row r="102" spans="1:1" s="46" customFormat="1">
      <c r="A102" s="55"/>
    </row>
    <row r="103" spans="1:1" s="46" customFormat="1">
      <c r="A103" s="55"/>
    </row>
    <row r="104" spans="1:1" s="46" customFormat="1">
      <c r="A104" s="55"/>
    </row>
    <row r="105" spans="1:1" s="46" customFormat="1">
      <c r="A105" s="55"/>
    </row>
    <row r="106" spans="1:1" s="46" customFormat="1">
      <c r="A106" s="55"/>
    </row>
    <row r="107" spans="1:1" s="46" customFormat="1" ht="12.75" customHeight="1">
      <c r="A107" s="55"/>
    </row>
    <row r="108" spans="1:1" s="46" customFormat="1">
      <c r="A108" s="55"/>
    </row>
    <row r="109" spans="1:1" s="46" customFormat="1">
      <c r="A109" s="55"/>
    </row>
    <row r="110" spans="1:1" s="46" customFormat="1">
      <c r="A110" s="55"/>
    </row>
    <row r="111" spans="1:1" s="46" customFormat="1">
      <c r="A111" s="55"/>
    </row>
    <row r="112" spans="1:1" s="46" customFormat="1">
      <c r="A112" s="55"/>
    </row>
    <row r="113" spans="1:1" s="46" customFormat="1">
      <c r="A113" s="55"/>
    </row>
    <row r="114" spans="1:1" s="46" customFormat="1">
      <c r="A114" s="55"/>
    </row>
    <row r="115" spans="1:1" s="46" customFormat="1">
      <c r="A115" s="55"/>
    </row>
    <row r="116" spans="1:1" s="46" customFormat="1">
      <c r="A116" s="55"/>
    </row>
    <row r="117" spans="1:1" s="46" customFormat="1">
      <c r="A117" s="55"/>
    </row>
    <row r="118" spans="1:1" s="46" customFormat="1">
      <c r="A118" s="55"/>
    </row>
    <row r="119" spans="1:1" s="46" customFormat="1">
      <c r="A119" s="55"/>
    </row>
    <row r="120" spans="1:1" s="46" customFormat="1">
      <c r="A120" s="55"/>
    </row>
    <row r="121" spans="1:1" s="46" customFormat="1">
      <c r="A121" s="55"/>
    </row>
    <row r="122" spans="1:1" s="46" customFormat="1">
      <c r="A122" s="55"/>
    </row>
    <row r="123" spans="1:1" s="46" customFormat="1">
      <c r="A123" s="55"/>
    </row>
    <row r="124" spans="1:1" s="46" customFormat="1">
      <c r="A124" s="55"/>
    </row>
    <row r="125" spans="1:1" s="46" customFormat="1">
      <c r="A125" s="55"/>
    </row>
    <row r="126" spans="1:1" s="46" customFormat="1">
      <c r="A126" s="55"/>
    </row>
    <row r="127" spans="1:1" s="46" customFormat="1">
      <c r="A127" s="55"/>
    </row>
    <row r="128" spans="1:1" s="46" customFormat="1">
      <c r="A128" s="55"/>
    </row>
    <row r="129" spans="1:1" s="46" customFormat="1">
      <c r="A129" s="55"/>
    </row>
    <row r="130" spans="1:1" s="46" customFormat="1">
      <c r="A130" s="55"/>
    </row>
    <row r="131" spans="1:1" s="46" customFormat="1">
      <c r="A131" s="55"/>
    </row>
    <row r="132" spans="1:1" s="46" customFormat="1">
      <c r="A132" s="55"/>
    </row>
    <row r="133" spans="1:1" s="46" customFormat="1">
      <c r="A133" s="55"/>
    </row>
    <row r="134" spans="1:1" s="46" customFormat="1">
      <c r="A134" s="55"/>
    </row>
    <row r="135" spans="1:1" s="46" customFormat="1">
      <c r="A135" s="55"/>
    </row>
    <row r="136" spans="1:1" s="46" customFormat="1">
      <c r="A136" s="55"/>
    </row>
    <row r="137" spans="1:1" s="46" customFormat="1">
      <c r="A137" s="55"/>
    </row>
    <row r="138" spans="1:1" s="46" customFormat="1">
      <c r="A138" s="55"/>
    </row>
    <row r="139" spans="1:1" s="46" customFormat="1">
      <c r="A139" s="55"/>
    </row>
    <row r="140" spans="1:1" s="46" customFormat="1">
      <c r="A140" s="55"/>
    </row>
    <row r="141" spans="1:1" s="46" customFormat="1">
      <c r="A141" s="55"/>
    </row>
    <row r="142" spans="1:1" s="46" customFormat="1">
      <c r="A142" s="55"/>
    </row>
    <row r="143" spans="1:1" s="46" customFormat="1">
      <c r="A143" s="55"/>
    </row>
    <row r="144" spans="1:1" s="46" customFormat="1">
      <c r="A144" s="55"/>
    </row>
    <row r="145" spans="1:1" s="46" customFormat="1">
      <c r="A145" s="55"/>
    </row>
    <row r="146" spans="1:1" s="46" customFormat="1">
      <c r="A146" s="55"/>
    </row>
    <row r="147" spans="1:1" s="46" customFormat="1">
      <c r="A147" s="55"/>
    </row>
    <row r="148" spans="1:1" s="46" customFormat="1">
      <c r="A148" s="55"/>
    </row>
    <row r="149" spans="1:1" s="46" customFormat="1">
      <c r="A149" s="55"/>
    </row>
    <row r="150" spans="1:1" s="46" customFormat="1">
      <c r="A150" s="55"/>
    </row>
    <row r="151" spans="1:1" s="46" customFormat="1">
      <c r="A151" s="55"/>
    </row>
    <row r="152" spans="1:1" s="46" customFormat="1">
      <c r="A152" s="55"/>
    </row>
    <row r="153" spans="1:1" s="46" customFormat="1">
      <c r="A153" s="55"/>
    </row>
    <row r="154" spans="1:1" s="46" customFormat="1">
      <c r="A154" s="55"/>
    </row>
    <row r="155" spans="1:1" s="46" customFormat="1">
      <c r="A155" s="55"/>
    </row>
    <row r="156" spans="1:1" s="46" customFormat="1">
      <c r="A156" s="55"/>
    </row>
    <row r="157" spans="1:1" s="46" customFormat="1">
      <c r="A157" s="55"/>
    </row>
  </sheetData>
  <mergeCells count="34">
    <mergeCell ref="I45:M45"/>
    <mergeCell ref="C45:G45"/>
    <mergeCell ref="J41:J43"/>
    <mergeCell ref="B12:M18"/>
    <mergeCell ref="B21:M22"/>
    <mergeCell ref="M41:M43"/>
    <mergeCell ref="B26:M29"/>
    <mergeCell ref="B35:M36"/>
    <mergeCell ref="C40:M40"/>
    <mergeCell ref="L41:L43"/>
    <mergeCell ref="G41:G43"/>
    <mergeCell ref="C41:C43"/>
    <mergeCell ref="D41:D43"/>
    <mergeCell ref="E41:E43"/>
    <mergeCell ref="I41:I43"/>
    <mergeCell ref="K41:K43"/>
    <mergeCell ref="C66:G66"/>
    <mergeCell ref="I66:M66"/>
    <mergeCell ref="C61:M61"/>
    <mergeCell ref="C62:C64"/>
    <mergeCell ref="D62:D64"/>
    <mergeCell ref="E62:E64"/>
    <mergeCell ref="F62:F64"/>
    <mergeCell ref="G62:G64"/>
    <mergeCell ref="I62:I64"/>
    <mergeCell ref="J62:J64"/>
    <mergeCell ref="K62:K64"/>
    <mergeCell ref="L62:L64"/>
    <mergeCell ref="M62:M64"/>
    <mergeCell ref="F41:F43"/>
    <mergeCell ref="O6:P6"/>
    <mergeCell ref="B3:M4"/>
    <mergeCell ref="B30:M33"/>
    <mergeCell ref="B8:M8"/>
  </mergeCells>
  <pageMargins left="0.75" right="0.5" top="0.75" bottom="0.5" header="0.4" footer="0.2"/>
  <pageSetup paperSize="9" scale="5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pageSetUpPr fitToPage="1"/>
  </sheetPr>
  <dimension ref="A1:R60"/>
  <sheetViews>
    <sheetView showGridLines="0" view="pageBreakPreview" topLeftCell="A47" zoomScaleNormal="90" zoomScaleSheetLayoutView="100" workbookViewId="0">
      <selection activeCell="B50" sqref="B50:J53"/>
    </sheetView>
  </sheetViews>
  <sheetFormatPr defaultColWidth="9.109375" defaultRowHeight="13.2"/>
  <cols>
    <col min="1" max="1" width="6.44140625" style="55" customWidth="1"/>
    <col min="2" max="2" width="8.5546875" style="46" customWidth="1"/>
    <col min="3" max="3" width="14" style="46" customWidth="1"/>
    <col min="4" max="4" width="9.88671875" style="46" bestFit="1" customWidth="1"/>
    <col min="5" max="5" width="25.88671875" style="46" customWidth="1"/>
    <col min="6" max="6" width="10.44140625" style="46" customWidth="1"/>
    <col min="7" max="7" width="0.109375" style="46" customWidth="1"/>
    <col min="8" max="8" width="13.44140625" style="46" customWidth="1"/>
    <col min="9" max="9" width="1.88671875" style="46" customWidth="1"/>
    <col min="10" max="10" width="13.44140625" style="46" customWidth="1"/>
    <col min="11" max="11" width="1.109375" style="46" customWidth="1"/>
    <col min="12" max="12" width="9.109375" style="46"/>
    <col min="13" max="13" width="27.109375" style="46" bestFit="1" customWidth="1"/>
    <col min="14" max="14" width="15.88671875" style="46" bestFit="1" customWidth="1"/>
    <col min="15" max="15" width="0.5546875" style="46" customWidth="1"/>
    <col min="16" max="16" width="17.44140625" style="46" customWidth="1"/>
    <col min="17" max="17" width="14" style="46" customWidth="1"/>
    <col min="18" max="18" width="17.88671875" style="46" bestFit="1" customWidth="1"/>
    <col min="19" max="16384" width="9.109375" style="46"/>
  </cols>
  <sheetData>
    <row r="1" spans="1:15" hidden="1"/>
    <row r="2" spans="1:15" ht="15" customHeight="1">
      <c r="A2" s="169">
        <f>'Notes 9-13'!A38+0.1</f>
        <v>13.2</v>
      </c>
      <c r="B2" s="667" t="s">
        <v>67</v>
      </c>
      <c r="M2" s="632"/>
      <c r="N2" s="632"/>
      <c r="O2" s="632"/>
    </row>
    <row r="3" spans="1:15" ht="15" customHeight="1"/>
    <row r="4" spans="1:15" s="632" customFormat="1" ht="15" customHeight="1">
      <c r="A4" s="170"/>
      <c r="H4" s="233" t="s">
        <v>527</v>
      </c>
      <c r="I4" s="726"/>
      <c r="J4" s="726" t="s">
        <v>527</v>
      </c>
      <c r="L4" s="726" t="s">
        <v>527</v>
      </c>
    </row>
    <row r="5" spans="1:15" s="632" customFormat="1" ht="15" customHeight="1">
      <c r="A5" s="170"/>
      <c r="H5" s="236">
        <v>2022</v>
      </c>
      <c r="I5" s="727"/>
      <c r="J5" s="727">
        <v>2021</v>
      </c>
      <c r="L5" s="176"/>
    </row>
    <row r="6" spans="1:15" s="632" customFormat="1" ht="15" customHeight="1">
      <c r="A6" s="170"/>
      <c r="H6" s="669" t="s">
        <v>47</v>
      </c>
      <c r="J6" s="759" t="s">
        <v>47</v>
      </c>
      <c r="L6" s="176" t="s">
        <v>140</v>
      </c>
    </row>
    <row r="7" spans="1:15" s="632" customFormat="1" ht="15" customHeight="1">
      <c r="A7" s="170"/>
      <c r="H7" s="1198" t="s">
        <v>69</v>
      </c>
      <c r="I7" s="1199"/>
      <c r="J7" s="1199"/>
      <c r="L7" s="176"/>
    </row>
    <row r="8" spans="1:15" s="632" customFormat="1" hidden="1">
      <c r="A8" s="170"/>
      <c r="H8" s="172"/>
      <c r="L8" s="176"/>
    </row>
    <row r="9" spans="1:15" s="632" customFormat="1" ht="15" customHeight="1">
      <c r="A9" s="170"/>
      <c r="B9" s="173" t="s">
        <v>68</v>
      </c>
      <c r="L9" s="176"/>
    </row>
    <row r="10" spans="1:15" s="632" customFormat="1" ht="15" customHeight="1">
      <c r="A10" s="170"/>
      <c r="B10" s="174" t="s">
        <v>50</v>
      </c>
      <c r="H10" s="175">
        <f>+IS!F24+IS!F25</f>
        <v>15069.49964</v>
      </c>
      <c r="J10" s="176">
        <v>1786</v>
      </c>
      <c r="L10" s="176"/>
    </row>
    <row r="11" spans="1:15" s="632" customFormat="1" ht="15" customHeight="1">
      <c r="A11" s="170"/>
      <c r="B11" s="174" t="s">
        <v>82</v>
      </c>
      <c r="H11" s="175">
        <f>+IS!F31</f>
        <v>3554.19904</v>
      </c>
      <c r="J11" s="176">
        <v>165</v>
      </c>
      <c r="L11" s="176"/>
    </row>
    <row r="12" spans="1:15" s="632" customFormat="1" ht="15" customHeight="1">
      <c r="A12" s="170"/>
      <c r="B12" s="174" t="s">
        <v>138</v>
      </c>
      <c r="H12" s="175">
        <f>+IS!F26</f>
        <v>142</v>
      </c>
      <c r="J12" s="176">
        <v>21</v>
      </c>
      <c r="L12" s="176">
        <f>SUM(J11:J12)</f>
        <v>186</v>
      </c>
    </row>
    <row r="13" spans="1:15" s="768" customFormat="1" ht="15" customHeight="1">
      <c r="A13" s="170"/>
      <c r="B13" s="174" t="s">
        <v>554</v>
      </c>
      <c r="H13" s="175">
        <f>+IS!F38</f>
        <v>518</v>
      </c>
      <c r="J13" s="176">
        <v>0</v>
      </c>
      <c r="L13" s="176"/>
    </row>
    <row r="14" spans="1:15" s="632" customFormat="1" ht="15" customHeight="1">
      <c r="A14" s="170"/>
      <c r="B14" s="174"/>
      <c r="H14" s="175"/>
      <c r="J14" s="176"/>
      <c r="L14" s="176"/>
    </row>
    <row r="15" spans="1:15" s="632" customFormat="1" ht="15" customHeight="1">
      <c r="A15" s="170"/>
      <c r="B15" s="173" t="s">
        <v>555</v>
      </c>
      <c r="H15" s="175"/>
      <c r="J15" s="176"/>
      <c r="L15" s="176"/>
    </row>
    <row r="16" spans="1:15" s="632" customFormat="1" ht="15" customHeight="1">
      <c r="A16" s="170"/>
      <c r="B16" s="174" t="s">
        <v>514</v>
      </c>
      <c r="C16" s="1013"/>
      <c r="D16" s="1013"/>
      <c r="E16" s="1013"/>
      <c r="F16" s="1013"/>
      <c r="H16" s="175">
        <f>IS!F27</f>
        <v>6115</v>
      </c>
      <c r="J16" s="176">
        <v>1097</v>
      </c>
      <c r="L16" s="176"/>
    </row>
    <row r="17" spans="1:12" s="632" customFormat="1" ht="15" customHeight="1">
      <c r="A17" s="170"/>
      <c r="B17" s="174" t="s">
        <v>84</v>
      </c>
      <c r="H17" s="175">
        <f>IS!F28</f>
        <v>794.98299999999995</v>
      </c>
      <c r="J17" s="176">
        <v>143</v>
      </c>
      <c r="L17" s="176"/>
    </row>
    <row r="18" spans="1:12" s="632" customFormat="1" ht="15" customHeight="1">
      <c r="A18" s="170"/>
      <c r="B18" s="177"/>
      <c r="H18" s="175"/>
      <c r="J18" s="176"/>
      <c r="L18" s="176"/>
    </row>
    <row r="19" spans="1:12" s="632" customFormat="1" ht="15" customHeight="1">
      <c r="A19" s="170"/>
      <c r="B19" s="173" t="s">
        <v>85</v>
      </c>
      <c r="H19" s="175"/>
      <c r="J19" s="176"/>
      <c r="L19" s="176"/>
    </row>
    <row r="20" spans="1:12" s="632" customFormat="1" ht="15" customHeight="1">
      <c r="A20" s="170"/>
      <c r="B20" s="174" t="s">
        <v>14</v>
      </c>
      <c r="H20" s="175">
        <f>+TB!C128</f>
        <v>17.349</v>
      </c>
      <c r="J20" s="176">
        <v>0</v>
      </c>
      <c r="L20" s="176"/>
    </row>
    <row r="21" spans="1:12" s="632" customFormat="1" ht="15" hidden="1" customHeight="1">
      <c r="A21" s="170"/>
      <c r="B21" s="174" t="s">
        <v>177</v>
      </c>
      <c r="H21" s="175">
        <v>0</v>
      </c>
      <c r="J21" s="176">
        <v>0</v>
      </c>
      <c r="L21" s="176"/>
    </row>
    <row r="22" spans="1:12" s="632" customFormat="1" ht="15" hidden="1" customHeight="1">
      <c r="A22" s="170"/>
      <c r="B22" s="174" t="s">
        <v>178</v>
      </c>
      <c r="H22" s="175">
        <v>0</v>
      </c>
      <c r="J22" s="176">
        <v>0</v>
      </c>
      <c r="L22" s="176"/>
    </row>
    <row r="23" spans="1:12" s="632" customFormat="1" ht="15" hidden="1" customHeight="1">
      <c r="A23" s="170"/>
      <c r="B23" s="174" t="s">
        <v>179</v>
      </c>
      <c r="H23" s="175">
        <v>0</v>
      </c>
      <c r="J23" s="176">
        <v>0</v>
      </c>
      <c r="L23" s="176"/>
    </row>
    <row r="24" spans="1:12" s="632" customFormat="1" ht="15" customHeight="1">
      <c r="A24" s="170"/>
      <c r="L24" s="176"/>
    </row>
    <row r="25" spans="1:12" s="632" customFormat="1" ht="15" customHeight="1">
      <c r="A25" s="178">
        <f>A2+0.1</f>
        <v>13.299999999999999</v>
      </c>
      <c r="B25" s="173" t="s">
        <v>556</v>
      </c>
      <c r="H25" s="233" t="s">
        <v>527</v>
      </c>
      <c r="I25" s="233"/>
      <c r="J25" s="726" t="s">
        <v>528</v>
      </c>
      <c r="L25" s="726"/>
    </row>
    <row r="26" spans="1:12" s="632" customFormat="1" ht="15" customHeight="1">
      <c r="A26" s="178"/>
      <c r="B26" s="173"/>
      <c r="H26" s="236">
        <f>H5</f>
        <v>2022</v>
      </c>
      <c r="I26" s="236"/>
      <c r="J26" s="727">
        <v>2021</v>
      </c>
      <c r="L26" s="176"/>
    </row>
    <row r="27" spans="1:12" s="632" customFormat="1" ht="15" customHeight="1">
      <c r="A27" s="170"/>
      <c r="H27" s="648" t="s">
        <v>47</v>
      </c>
      <c r="J27" s="759" t="s">
        <v>0</v>
      </c>
      <c r="L27" s="176"/>
    </row>
    <row r="28" spans="1:12" s="632" customFormat="1" ht="15" customHeight="1">
      <c r="A28" s="170"/>
      <c r="I28" s="171" t="s">
        <v>69</v>
      </c>
      <c r="J28" s="179"/>
      <c r="L28" s="176"/>
    </row>
    <row r="29" spans="1:12" s="632" customFormat="1" ht="15" customHeight="1">
      <c r="A29" s="170"/>
      <c r="L29" s="176">
        <v>-1000</v>
      </c>
    </row>
    <row r="30" spans="1:12" s="632" customFormat="1" ht="15" customHeight="1">
      <c r="A30" s="170"/>
      <c r="B30" s="173" t="s">
        <v>68</v>
      </c>
      <c r="L30" s="176"/>
    </row>
    <row r="31" spans="1:12" s="632" customFormat="1" ht="15" customHeight="1">
      <c r="A31" s="170"/>
      <c r="B31" s="174" t="s">
        <v>86</v>
      </c>
      <c r="H31" s="175">
        <f>TB!D62</f>
        <v>149.22720000000001</v>
      </c>
      <c r="J31" s="176">
        <v>0</v>
      </c>
      <c r="L31" s="176"/>
    </row>
    <row r="32" spans="1:12" s="632" customFormat="1" ht="15" customHeight="1">
      <c r="A32" s="170"/>
      <c r="B32" s="174" t="s">
        <v>87</v>
      </c>
      <c r="H32" s="175">
        <f>TB!D64</f>
        <v>21.50057</v>
      </c>
      <c r="J32" s="176">
        <v>0</v>
      </c>
      <c r="L32" s="176"/>
    </row>
    <row r="33" spans="1:18" s="768" customFormat="1" ht="15" customHeight="1">
      <c r="A33" s="170"/>
      <c r="B33" s="174" t="s">
        <v>404</v>
      </c>
      <c r="H33" s="175">
        <f>+TB!D83</f>
        <v>60</v>
      </c>
      <c r="J33" s="176">
        <v>60</v>
      </c>
      <c r="L33" s="176"/>
      <c r="M33" s="851"/>
      <c r="N33" s="851"/>
      <c r="O33" s="851"/>
      <c r="P33" s="851"/>
      <c r="Q33" s="851"/>
      <c r="R33" s="851"/>
    </row>
    <row r="34" spans="1:18" s="768" customFormat="1" ht="15" customHeight="1">
      <c r="A34" s="170"/>
      <c r="B34" s="174" t="s">
        <v>478</v>
      </c>
      <c r="H34" s="175">
        <v>0</v>
      </c>
      <c r="J34" s="176">
        <v>1844</v>
      </c>
      <c r="L34" s="176"/>
      <c r="M34" s="851"/>
      <c r="N34" s="851"/>
      <c r="O34" s="851"/>
      <c r="P34" s="851"/>
      <c r="Q34" s="851"/>
      <c r="R34" s="851"/>
    </row>
    <row r="35" spans="1:18" s="632" customFormat="1" ht="15" customHeight="1">
      <c r="A35" s="170"/>
      <c r="B35" s="174"/>
      <c r="H35" s="175"/>
      <c r="J35" s="176"/>
      <c r="L35" s="176"/>
      <c r="M35" s="852"/>
      <c r="N35" s="852"/>
      <c r="O35" s="853"/>
      <c r="P35" s="854"/>
      <c r="Q35" s="852"/>
      <c r="R35" s="851"/>
    </row>
    <row r="36" spans="1:18" s="632" customFormat="1" ht="15" customHeight="1">
      <c r="A36" s="170"/>
      <c r="B36" s="173" t="s">
        <v>529</v>
      </c>
      <c r="H36" s="180"/>
      <c r="L36" s="176"/>
      <c r="M36" s="855"/>
      <c r="N36" s="856"/>
      <c r="O36" s="857"/>
      <c r="P36" s="856"/>
      <c r="Q36" s="858"/>
      <c r="R36" s="851"/>
    </row>
    <row r="37" spans="1:18" s="632" customFormat="1" ht="15" customHeight="1">
      <c r="A37" s="170"/>
      <c r="B37" s="174" t="s">
        <v>530</v>
      </c>
      <c r="C37" s="913"/>
      <c r="D37" s="913"/>
      <c r="E37" s="913"/>
      <c r="F37" s="913"/>
      <c r="G37" s="768"/>
      <c r="H37" s="175">
        <v>0</v>
      </c>
      <c r="I37" s="768"/>
      <c r="J37" s="176">
        <v>724</v>
      </c>
      <c r="L37" s="176"/>
      <c r="M37" s="851"/>
      <c r="N37" s="851"/>
      <c r="O37" s="851"/>
      <c r="P37" s="851"/>
      <c r="Q37" s="851"/>
      <c r="R37" s="851"/>
    </row>
    <row r="38" spans="1:18" s="632" customFormat="1" ht="15" customHeight="1">
      <c r="A38" s="170"/>
      <c r="B38" s="174" t="s">
        <v>141</v>
      </c>
      <c r="H38" s="175">
        <f>TB!D66</f>
        <v>0</v>
      </c>
      <c r="J38" s="176">
        <v>94</v>
      </c>
      <c r="L38" s="176"/>
      <c r="M38" s="851"/>
      <c r="N38" s="851"/>
      <c r="O38" s="851"/>
      <c r="P38" s="851"/>
      <c r="Q38" s="851"/>
      <c r="R38" s="851"/>
    </row>
    <row r="39" spans="1:18" s="632" customFormat="1" ht="15" customHeight="1">
      <c r="A39" s="170"/>
      <c r="B39" s="174"/>
      <c r="H39" s="175"/>
      <c r="J39" s="176"/>
      <c r="L39" s="176"/>
      <c r="M39" s="851"/>
      <c r="N39" s="851"/>
      <c r="O39" s="851"/>
      <c r="P39" s="851"/>
      <c r="Q39" s="851"/>
      <c r="R39" s="851"/>
    </row>
    <row r="40" spans="1:18" s="632" customFormat="1" ht="15" customHeight="1">
      <c r="A40" s="170"/>
      <c r="B40" s="173" t="s">
        <v>88</v>
      </c>
      <c r="H40" s="175"/>
      <c r="J40" s="176"/>
      <c r="K40" s="181"/>
      <c r="L40" s="176"/>
      <c r="M40" s="851"/>
      <c r="N40" s="851"/>
      <c r="O40" s="851"/>
      <c r="P40" s="851"/>
      <c r="Q40" s="851"/>
      <c r="R40" s="851"/>
    </row>
    <row r="41" spans="1:18" s="632" customFormat="1" ht="15" customHeight="1">
      <c r="A41" s="170"/>
      <c r="B41" s="174" t="s">
        <v>89</v>
      </c>
      <c r="H41" s="175">
        <f>TB!C4</f>
        <v>8762.5429499999991</v>
      </c>
      <c r="J41" s="176">
        <v>1904</v>
      </c>
      <c r="K41" s="181"/>
      <c r="L41" s="176"/>
      <c r="M41" s="851"/>
      <c r="N41" s="851"/>
      <c r="O41" s="851"/>
      <c r="P41" s="851"/>
      <c r="Q41" s="851"/>
      <c r="R41" s="851"/>
    </row>
    <row r="42" spans="1:18" s="632" customFormat="1" ht="15" customHeight="1">
      <c r="A42" s="170"/>
      <c r="B42" s="174"/>
      <c r="H42" s="173"/>
      <c r="J42" s="182"/>
      <c r="K42" s="181"/>
      <c r="L42" s="176"/>
      <c r="M42" s="851"/>
      <c r="N42" s="851"/>
      <c r="O42" s="851"/>
      <c r="P42" s="851"/>
      <c r="Q42" s="851"/>
      <c r="R42" s="851"/>
    </row>
    <row r="43" spans="1:18" s="496" customFormat="1" ht="14.1" customHeight="1">
      <c r="A43" s="149">
        <f>'Notes 9-13'!A24+1</f>
        <v>14</v>
      </c>
      <c r="B43" s="150" t="s">
        <v>101</v>
      </c>
      <c r="C43" s="151"/>
      <c r="D43" s="151"/>
      <c r="E43" s="151"/>
      <c r="F43" s="152"/>
      <c r="G43" s="151"/>
      <c r="H43" s="151"/>
      <c r="I43" s="151"/>
      <c r="J43" s="152"/>
      <c r="K43" s="151"/>
      <c r="L43" s="151"/>
      <c r="M43" s="153"/>
      <c r="N43" s="153"/>
      <c r="O43" s="153"/>
    </row>
    <row r="44" spans="1:18" s="497" customFormat="1" ht="14.1" customHeight="1">
      <c r="A44" s="154"/>
      <c r="B44" s="155"/>
      <c r="C44" s="151"/>
      <c r="D44" s="151"/>
      <c r="E44" s="151"/>
      <c r="F44" s="152"/>
      <c r="G44" s="151"/>
      <c r="H44" s="151"/>
      <c r="I44" s="151"/>
      <c r="J44" s="152"/>
      <c r="K44" s="151"/>
      <c r="L44" s="151"/>
      <c r="M44" s="153"/>
      <c r="N44" s="153"/>
      <c r="O44" s="153"/>
    </row>
    <row r="45" spans="1:18" s="497" customFormat="1" ht="14.1" customHeight="1">
      <c r="A45" s="154"/>
      <c r="B45" s="1197" t="s">
        <v>124</v>
      </c>
      <c r="C45" s="1197"/>
      <c r="D45" s="1197"/>
      <c r="E45" s="1197"/>
      <c r="F45" s="1197"/>
      <c r="G45" s="1197"/>
      <c r="H45" s="1197"/>
      <c r="I45" s="1197"/>
      <c r="J45" s="1197"/>
      <c r="K45" s="779"/>
      <c r="L45" s="779"/>
      <c r="M45" s="779"/>
      <c r="N45" s="779"/>
      <c r="O45" s="779"/>
    </row>
    <row r="46" spans="1:18" s="497" customFormat="1" ht="14.1" customHeight="1">
      <c r="A46" s="154"/>
      <c r="B46" s="1197"/>
      <c r="C46" s="1197"/>
      <c r="D46" s="1197"/>
      <c r="E46" s="1197"/>
      <c r="F46" s="1197"/>
      <c r="G46" s="1197"/>
      <c r="H46" s="1197"/>
      <c r="I46" s="1197"/>
      <c r="J46" s="1197"/>
      <c r="K46" s="779"/>
      <c r="L46" s="779"/>
      <c r="M46" s="779"/>
      <c r="N46" s="779"/>
      <c r="O46" s="779"/>
    </row>
    <row r="47" spans="1:18" s="497" customFormat="1" ht="14.1" customHeight="1">
      <c r="A47" s="154"/>
      <c r="B47" s="1197"/>
      <c r="C47" s="1197"/>
      <c r="D47" s="1197"/>
      <c r="E47" s="1197"/>
      <c r="F47" s="1197"/>
      <c r="G47" s="1197"/>
      <c r="H47" s="1197"/>
      <c r="I47" s="1197"/>
      <c r="J47" s="1197"/>
      <c r="K47" s="779"/>
      <c r="L47" s="779"/>
      <c r="M47" s="779"/>
      <c r="N47" s="779"/>
      <c r="O47" s="779"/>
    </row>
    <row r="48" spans="1:18" s="497" customFormat="1" ht="14.1" customHeight="1">
      <c r="A48" s="154"/>
      <c r="B48" s="1197"/>
      <c r="C48" s="1197"/>
      <c r="D48" s="1197"/>
      <c r="E48" s="1197"/>
      <c r="F48" s="1197"/>
      <c r="G48" s="1197"/>
      <c r="H48" s="1197"/>
      <c r="I48" s="1197"/>
      <c r="J48" s="1197"/>
      <c r="K48" s="779"/>
      <c r="L48" s="779"/>
      <c r="M48" s="779"/>
      <c r="N48" s="779"/>
      <c r="O48" s="779"/>
    </row>
    <row r="49" spans="1:15" s="497" customFormat="1" ht="14.1" customHeight="1">
      <c r="A49" s="154"/>
      <c r="B49" s="778"/>
      <c r="C49" s="778"/>
      <c r="D49" s="778"/>
      <c r="E49" s="778"/>
      <c r="F49" s="778"/>
      <c r="G49" s="778"/>
      <c r="H49" s="778"/>
      <c r="I49" s="778"/>
      <c r="J49" s="778"/>
      <c r="K49" s="778"/>
      <c r="L49" s="778"/>
      <c r="M49" s="778"/>
      <c r="N49" s="778"/>
      <c r="O49" s="778"/>
    </row>
    <row r="50" spans="1:15" s="497" customFormat="1" ht="14.1" customHeight="1">
      <c r="A50" s="154"/>
      <c r="B50" s="1197" t="s">
        <v>125</v>
      </c>
      <c r="C50" s="1197"/>
      <c r="D50" s="1197"/>
      <c r="E50" s="1197"/>
      <c r="F50" s="1197"/>
      <c r="G50" s="1197"/>
      <c r="H50" s="1197"/>
      <c r="I50" s="1197"/>
      <c r="J50" s="1197"/>
      <c r="K50" s="779"/>
      <c r="L50" s="779"/>
      <c r="M50" s="779"/>
      <c r="N50" s="779"/>
      <c r="O50" s="779"/>
    </row>
    <row r="51" spans="1:15" s="497" customFormat="1" ht="14.1" customHeight="1">
      <c r="A51" s="154"/>
      <c r="B51" s="1197"/>
      <c r="C51" s="1197"/>
      <c r="D51" s="1197"/>
      <c r="E51" s="1197"/>
      <c r="F51" s="1197"/>
      <c r="G51" s="1197"/>
      <c r="H51" s="1197"/>
      <c r="I51" s="1197"/>
      <c r="J51" s="1197"/>
      <c r="K51" s="779"/>
      <c r="L51" s="779"/>
      <c r="M51" s="779"/>
      <c r="N51" s="779"/>
      <c r="O51" s="779"/>
    </row>
    <row r="52" spans="1:15" s="497" customFormat="1" ht="14.1" customHeight="1">
      <c r="A52" s="154"/>
      <c r="B52" s="1197"/>
      <c r="C52" s="1197"/>
      <c r="D52" s="1197"/>
      <c r="E52" s="1197"/>
      <c r="F52" s="1197"/>
      <c r="G52" s="1197"/>
      <c r="H52" s="1197"/>
      <c r="I52" s="1197"/>
      <c r="J52" s="1197"/>
      <c r="K52" s="779"/>
      <c r="L52" s="779"/>
      <c r="M52" s="779"/>
      <c r="N52" s="779"/>
      <c r="O52" s="779"/>
    </row>
    <row r="53" spans="1:15" ht="12.75" customHeight="1">
      <c r="B53" s="1197"/>
      <c r="C53" s="1197"/>
      <c r="D53" s="1197"/>
      <c r="E53" s="1197"/>
      <c r="F53" s="1197"/>
      <c r="G53" s="1197"/>
      <c r="H53" s="1197"/>
      <c r="I53" s="1197"/>
      <c r="J53" s="1197"/>
    </row>
    <row r="54" spans="1:15" s="830" customFormat="1" ht="15" customHeight="1">
      <c r="B54" s="1200" t="s">
        <v>126</v>
      </c>
      <c r="C54" s="1200"/>
      <c r="D54" s="1200"/>
      <c r="E54" s="1200"/>
      <c r="F54" s="1200"/>
      <c r="G54" s="1200"/>
      <c r="H54" s="1200"/>
      <c r="I54" s="1200"/>
      <c r="J54" s="1200"/>
      <c r="K54" s="832"/>
      <c r="L54" s="832"/>
      <c r="M54" s="832"/>
      <c r="O54" s="831"/>
    </row>
    <row r="55" spans="1:15" s="830" customFormat="1" ht="15" customHeight="1">
      <c r="B55" s="832"/>
      <c r="C55" s="832"/>
      <c r="D55" s="832"/>
      <c r="E55" s="832"/>
      <c r="F55" s="832"/>
      <c r="G55" s="832"/>
      <c r="H55" s="832"/>
      <c r="I55" s="832"/>
      <c r="J55" s="832"/>
      <c r="K55" s="832"/>
      <c r="L55" s="832"/>
      <c r="M55" s="832"/>
      <c r="O55" s="831"/>
    </row>
    <row r="56" spans="1:15" s="830" customFormat="1" ht="15" customHeight="1">
      <c r="B56" s="1200" t="s">
        <v>419</v>
      </c>
      <c r="C56" s="1200"/>
      <c r="D56" s="1200"/>
      <c r="E56" s="1200"/>
      <c r="F56" s="1200"/>
      <c r="G56" s="1200"/>
      <c r="H56" s="1200"/>
      <c r="I56" s="1200"/>
      <c r="J56" s="1200"/>
      <c r="K56" s="832"/>
      <c r="L56" s="832"/>
      <c r="M56" s="832"/>
      <c r="O56" s="831"/>
    </row>
    <row r="57" spans="1:15" s="830" customFormat="1" ht="15" customHeight="1">
      <c r="B57" s="832"/>
      <c r="C57" s="832"/>
      <c r="D57" s="832"/>
      <c r="E57" s="832"/>
      <c r="F57" s="832"/>
      <c r="G57" s="832"/>
      <c r="H57" s="832"/>
      <c r="I57" s="832"/>
      <c r="J57" s="832"/>
      <c r="K57" s="832"/>
      <c r="L57" s="832"/>
      <c r="M57" s="832"/>
      <c r="O57" s="831"/>
    </row>
    <row r="58" spans="1:15" s="830" customFormat="1" ht="27" customHeight="1">
      <c r="B58" s="1197" t="s">
        <v>420</v>
      </c>
      <c r="C58" s="1197"/>
      <c r="D58" s="1197"/>
      <c r="E58" s="1197"/>
      <c r="F58" s="1197"/>
      <c r="G58" s="1197"/>
      <c r="H58" s="1197"/>
      <c r="I58" s="1197"/>
      <c r="J58" s="1197"/>
      <c r="K58" s="832"/>
      <c r="L58" s="832"/>
      <c r="M58" s="832"/>
      <c r="O58" s="831"/>
    </row>
    <row r="59" spans="1:15" s="830" customFormat="1" ht="15" customHeight="1">
      <c r="B59" s="833"/>
      <c r="C59" s="832"/>
      <c r="D59" s="832"/>
      <c r="E59" s="832"/>
      <c r="F59" s="832"/>
      <c r="G59" s="832"/>
      <c r="H59" s="832"/>
      <c r="I59" s="832"/>
      <c r="J59" s="832"/>
      <c r="K59" s="832"/>
      <c r="L59" s="832"/>
      <c r="M59" s="832"/>
      <c r="O59" s="831"/>
    </row>
    <row r="60" spans="1:15" s="830" customFormat="1" ht="31.35" customHeight="1">
      <c r="B60" s="1197" t="s">
        <v>421</v>
      </c>
      <c r="C60" s="1197"/>
      <c r="D60" s="1197"/>
      <c r="E60" s="1197"/>
      <c r="F60" s="1197"/>
      <c r="G60" s="1197"/>
      <c r="H60" s="1197"/>
      <c r="I60" s="1197"/>
      <c r="J60" s="1197"/>
      <c r="K60" s="832"/>
      <c r="L60" s="832"/>
      <c r="M60" s="832"/>
      <c r="O60" s="831"/>
    </row>
  </sheetData>
  <mergeCells count="7">
    <mergeCell ref="B60:J60"/>
    <mergeCell ref="B45:J48"/>
    <mergeCell ref="B50:J53"/>
    <mergeCell ref="H7:J7"/>
    <mergeCell ref="B54:J54"/>
    <mergeCell ref="B56:J56"/>
    <mergeCell ref="B58:J58"/>
  </mergeCells>
  <pageMargins left="0.75" right="0.5" top="0.75" bottom="0.5" header="0.4" footer="0.2"/>
  <pageSetup paperSize="9" scale="85" orientation="portrait" horizontalDpi="4294967295"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R39"/>
  <sheetViews>
    <sheetView showGridLines="0" view="pageBreakPreview" topLeftCell="A10" zoomScaleNormal="100" zoomScaleSheetLayoutView="100" workbookViewId="0">
      <selection activeCell="C9" sqref="C9"/>
    </sheetView>
  </sheetViews>
  <sheetFormatPr defaultColWidth="9.109375" defaultRowHeight="13.2"/>
  <cols>
    <col min="1" max="1" width="6.44140625" style="242" customWidth="1"/>
    <col min="2" max="2" width="13.109375" style="242" customWidth="1"/>
    <col min="3" max="3" width="20" style="242" customWidth="1"/>
    <col min="4" max="4" width="1.44140625" style="242" customWidth="1"/>
    <col min="5" max="5" width="11" style="758" bestFit="1" customWidth="1"/>
    <col min="6" max="6" width="1.44140625" style="758" customWidth="1"/>
    <col min="7" max="7" width="13.5546875" style="242" customWidth="1"/>
    <col min="8" max="8" width="1.44140625" style="758" customWidth="1"/>
    <col min="9" max="9" width="13.5546875" style="242" customWidth="1"/>
    <col min="10" max="10" width="1.44140625" style="758" customWidth="1"/>
    <col min="11" max="11" width="13.5546875" style="242" customWidth="1"/>
    <col min="12" max="12" width="1.44140625" style="758" customWidth="1"/>
    <col min="13" max="13" width="13.5546875" style="242" customWidth="1"/>
    <col min="14" max="14" width="1.5546875" style="242" customWidth="1"/>
    <col min="15" max="17" width="9.109375" style="242"/>
    <col min="18" max="18" width="10.5546875" style="242" bestFit="1" customWidth="1"/>
    <col min="19" max="16384" width="9.109375" style="242"/>
  </cols>
  <sheetData>
    <row r="1" spans="1:18">
      <c r="A1" s="149">
        <f>'Notes 13-14'!A43+1</f>
        <v>15</v>
      </c>
      <c r="B1" s="150" t="s">
        <v>91</v>
      </c>
      <c r="C1" s="130"/>
      <c r="D1" s="130"/>
      <c r="E1" s="130"/>
      <c r="F1" s="1071"/>
      <c r="G1" s="130"/>
      <c r="H1" s="1071"/>
      <c r="I1" s="130"/>
      <c r="J1" s="1071"/>
      <c r="K1" s="130"/>
      <c r="L1" s="1071"/>
      <c r="M1" s="130"/>
      <c r="N1" s="130"/>
    </row>
    <row r="2" spans="1:18">
      <c r="A2" s="149"/>
      <c r="B2" s="150"/>
      <c r="C2" s="130"/>
      <c r="D2" s="130"/>
      <c r="E2" s="130"/>
      <c r="F2" s="1071"/>
      <c r="G2" s="130"/>
      <c r="H2" s="1071"/>
      <c r="I2" s="130"/>
      <c r="J2" s="1071"/>
      <c r="K2" s="130"/>
      <c r="L2" s="1071"/>
      <c r="M2" s="130"/>
      <c r="N2" s="130"/>
    </row>
    <row r="3" spans="1:18" ht="13.35" customHeight="1">
      <c r="A3" s="807"/>
      <c r="B3" s="1072"/>
      <c r="C3" s="1073"/>
      <c r="D3" s="130"/>
      <c r="E3" s="493"/>
      <c r="F3" s="493"/>
      <c r="G3" s="493"/>
      <c r="H3" s="493"/>
      <c r="I3" s="1074" t="s">
        <v>286</v>
      </c>
      <c r="J3" s="493"/>
      <c r="K3" s="1074" t="s">
        <v>90</v>
      </c>
      <c r="L3" s="1075"/>
      <c r="M3" s="1074" t="s">
        <v>37</v>
      </c>
      <c r="N3" s="493"/>
    </row>
    <row r="4" spans="1:18">
      <c r="A4" s="807"/>
      <c r="B4" s="1072"/>
      <c r="C4" s="1073"/>
      <c r="D4" s="130"/>
      <c r="E4" s="494"/>
      <c r="F4" s="494"/>
      <c r="G4" s="494"/>
      <c r="H4" s="494"/>
      <c r="I4" s="1076" t="s">
        <v>347</v>
      </c>
      <c r="J4" s="494"/>
      <c r="K4" s="1076" t="s">
        <v>348</v>
      </c>
      <c r="L4" s="1077"/>
      <c r="M4" s="1076" t="s">
        <v>349</v>
      </c>
      <c r="N4" s="494"/>
    </row>
    <row r="5" spans="1:18" ht="15" customHeight="1">
      <c r="A5" s="807"/>
      <c r="B5" s="1072"/>
      <c r="C5" s="1078"/>
      <c r="D5" s="130"/>
      <c r="E5" s="1079"/>
      <c r="F5" s="1078"/>
      <c r="G5" s="1079"/>
      <c r="H5" s="1079"/>
      <c r="I5" s="1201" t="s">
        <v>350</v>
      </c>
      <c r="J5" s="1201"/>
      <c r="K5" s="1201"/>
      <c r="L5" s="1201"/>
      <c r="M5" s="1201"/>
      <c r="N5" s="131"/>
    </row>
    <row r="6" spans="1:18">
      <c r="A6" s="807"/>
      <c r="B6" s="1072"/>
      <c r="C6" s="1078"/>
      <c r="D6" s="1078"/>
      <c r="E6" s="1079"/>
      <c r="F6" s="1078"/>
      <c r="G6" s="1079"/>
      <c r="H6" s="1079"/>
      <c r="I6" s="132"/>
      <c r="J6" s="1079"/>
      <c r="K6" s="131"/>
      <c r="L6" s="1080"/>
      <c r="M6" s="132"/>
      <c r="N6" s="132"/>
      <c r="R6" s="747">
        <v>13362249</v>
      </c>
    </row>
    <row r="7" spans="1:18" s="189" customFormat="1" ht="15" customHeight="1">
      <c r="A7" s="773"/>
      <c r="B7" s="1081" t="s">
        <v>560</v>
      </c>
      <c r="C7" s="135"/>
      <c r="D7" s="135"/>
      <c r="E7" s="1082"/>
      <c r="F7" s="423"/>
      <c r="G7" s="1083"/>
      <c r="H7" s="1082"/>
      <c r="I7" s="136">
        <v>0</v>
      </c>
      <c r="J7" s="1083"/>
      <c r="K7" s="137">
        <v>-884273</v>
      </c>
      <c r="L7" s="137"/>
      <c r="M7" s="138">
        <f>+K7+I7</f>
        <v>-884273</v>
      </c>
      <c r="N7" s="138"/>
    </row>
    <row r="8" spans="1:18" s="189" customFormat="1" ht="13.8" thickBot="1">
      <c r="A8" s="135"/>
      <c r="B8" s="1084"/>
      <c r="C8" s="1081"/>
      <c r="D8" s="1081"/>
      <c r="E8" s="1085"/>
      <c r="F8" s="1085"/>
      <c r="G8" s="1086"/>
      <c r="H8" s="1086"/>
      <c r="I8" s="1087">
        <f>SUM(I7:I7)</f>
        <v>0</v>
      </c>
      <c r="J8" s="1086"/>
      <c r="K8" s="1087">
        <f>SUM(K7:K7)</f>
        <v>-884273</v>
      </c>
      <c r="L8" s="1088"/>
      <c r="M8" s="1087">
        <f>SUM(M7:M7)</f>
        <v>-884273</v>
      </c>
      <c r="N8" s="137"/>
    </row>
    <row r="9" spans="1:18" s="189" customFormat="1" ht="13.8" thickTop="1">
      <c r="A9" s="135"/>
      <c r="B9" s="1084"/>
      <c r="C9" s="1081"/>
      <c r="D9" s="1081"/>
      <c r="E9" s="1081"/>
      <c r="F9" s="1085"/>
      <c r="G9" s="1089"/>
      <c r="H9" s="1086"/>
      <c r="I9" s="1089"/>
      <c r="J9" s="1086"/>
      <c r="K9" s="136"/>
      <c r="L9" s="1088"/>
      <c r="M9" s="136"/>
      <c r="N9" s="136"/>
    </row>
    <row r="10" spans="1:18" s="189" customFormat="1" ht="13.35" customHeight="1">
      <c r="A10" s="773" t="s">
        <v>42</v>
      </c>
      <c r="B10" s="1202" t="s">
        <v>321</v>
      </c>
      <c r="C10" s="1202"/>
      <c r="D10" s="1202"/>
      <c r="E10" s="1202"/>
      <c r="F10" s="1202"/>
      <c r="G10" s="1202"/>
      <c r="H10" s="1202"/>
      <c r="I10" s="1202"/>
      <c r="J10" s="1202"/>
      <c r="K10" s="1202"/>
      <c r="L10" s="1202"/>
      <c r="M10" s="1202"/>
      <c r="N10" s="668"/>
    </row>
    <row r="11" spans="1:18">
      <c r="A11" s="748"/>
      <c r="B11" s="653"/>
      <c r="C11" s="653"/>
      <c r="D11" s="653"/>
      <c r="E11" s="139"/>
      <c r="F11" s="139"/>
      <c r="G11" s="140"/>
      <c r="H11" s="749"/>
      <c r="I11" s="140"/>
      <c r="J11" s="142"/>
      <c r="K11" s="143"/>
      <c r="L11" s="750"/>
      <c r="M11" s="140"/>
      <c r="N11" s="140"/>
    </row>
    <row r="12" spans="1:18" hidden="1">
      <c r="A12" s="748"/>
      <c r="B12" s="653"/>
      <c r="C12" s="653"/>
      <c r="D12" s="653"/>
      <c r="E12" s="139"/>
      <c r="F12" s="139"/>
      <c r="G12" s="140"/>
      <c r="H12" s="749"/>
      <c r="I12" s="140"/>
      <c r="J12" s="142"/>
      <c r="K12" s="143"/>
      <c r="L12" s="750"/>
      <c r="M12" s="140"/>
      <c r="N12" s="140"/>
    </row>
    <row r="13" spans="1:18">
      <c r="A13" s="751">
        <f>A1+1</f>
        <v>16</v>
      </c>
      <c r="B13" s="144" t="s">
        <v>310</v>
      </c>
      <c r="C13" s="653"/>
      <c r="D13" s="653"/>
      <c r="E13" s="139"/>
      <c r="F13" s="139"/>
      <c r="G13" s="140"/>
      <c r="H13" s="749"/>
      <c r="I13" s="140"/>
      <c r="J13" s="142"/>
      <c r="K13" s="143"/>
      <c r="L13" s="750"/>
      <c r="M13" s="140"/>
      <c r="N13" s="140"/>
    </row>
    <row r="14" spans="1:18">
      <c r="A14" s="149"/>
      <c r="B14" s="144"/>
      <c r="C14" s="653"/>
      <c r="D14" s="653"/>
      <c r="E14" s="139"/>
      <c r="F14" s="139"/>
      <c r="G14" s="140"/>
      <c r="H14" s="749"/>
      <c r="I14" s="140"/>
      <c r="J14" s="142"/>
      <c r="K14" s="143"/>
      <c r="L14" s="750"/>
      <c r="M14" s="140"/>
      <c r="N14" s="140"/>
    </row>
    <row r="15" spans="1:18">
      <c r="A15" s="829">
        <v>16.100000000000001</v>
      </c>
      <c r="B15" s="1124" t="s">
        <v>417</v>
      </c>
      <c r="C15" s="1124"/>
      <c r="D15" s="1124"/>
      <c r="E15" s="1124"/>
      <c r="F15" s="1124"/>
      <c r="G15" s="1124"/>
      <c r="H15" s="1124"/>
      <c r="I15" s="1124"/>
      <c r="J15" s="1124"/>
      <c r="K15" s="1124"/>
      <c r="L15" s="1124"/>
      <c r="M15" s="1124"/>
      <c r="N15" s="140"/>
    </row>
    <row r="16" spans="1:18">
      <c r="A16" s="748"/>
      <c r="B16" s="1124"/>
      <c r="C16" s="1124"/>
      <c r="D16" s="1124"/>
      <c r="E16" s="1124"/>
      <c r="F16" s="1124"/>
      <c r="G16" s="1124"/>
      <c r="H16" s="1124"/>
      <c r="I16" s="1124"/>
      <c r="J16" s="1124"/>
      <c r="K16" s="1124"/>
      <c r="L16" s="1124"/>
      <c r="M16" s="1124"/>
      <c r="N16" s="140"/>
    </row>
    <row r="17" spans="1:14">
      <c r="A17" s="748"/>
      <c r="B17" s="189"/>
      <c r="C17" s="817"/>
      <c r="D17" s="817"/>
      <c r="E17" s="139"/>
      <c r="F17" s="139"/>
      <c r="G17" s="140"/>
      <c r="H17" s="749"/>
      <c r="I17" s="140"/>
      <c r="J17" s="142"/>
      <c r="K17" s="143"/>
      <c r="L17" s="750"/>
      <c r="M17" s="140"/>
      <c r="N17" s="140"/>
    </row>
    <row r="18" spans="1:14">
      <c r="A18" s="829">
        <v>16.2</v>
      </c>
      <c r="B18" s="1124" t="s">
        <v>418</v>
      </c>
      <c r="C18" s="1124"/>
      <c r="D18" s="1124"/>
      <c r="E18" s="1124"/>
      <c r="F18" s="1124"/>
      <c r="G18" s="1124"/>
      <c r="H18" s="1124"/>
      <c r="I18" s="1124"/>
      <c r="J18" s="1124"/>
      <c r="K18" s="1124"/>
      <c r="L18" s="1124"/>
      <c r="M18" s="1124"/>
      <c r="N18" s="140"/>
    </row>
    <row r="19" spans="1:14">
      <c r="A19" s="748"/>
      <c r="B19" s="1124"/>
      <c r="C19" s="1124"/>
      <c r="D19" s="1124"/>
      <c r="E19" s="1124"/>
      <c r="F19" s="1124"/>
      <c r="G19" s="1124"/>
      <c r="H19" s="1124"/>
      <c r="I19" s="1124"/>
      <c r="J19" s="1124"/>
      <c r="K19" s="1124"/>
      <c r="L19" s="1124"/>
      <c r="M19" s="1124"/>
      <c r="N19" s="140"/>
    </row>
    <row r="20" spans="1:14">
      <c r="A20" s="748"/>
      <c r="B20" s="189"/>
      <c r="C20" s="817"/>
      <c r="D20" s="817"/>
      <c r="E20" s="139"/>
      <c r="F20" s="139"/>
      <c r="G20" s="140"/>
      <c r="H20" s="749"/>
      <c r="I20" s="140"/>
      <c r="J20" s="142"/>
      <c r="K20" s="143"/>
      <c r="L20" s="750"/>
      <c r="M20" s="140"/>
      <c r="N20" s="140"/>
    </row>
    <row r="21" spans="1:14">
      <c r="A21" s="748"/>
      <c r="B21" s="653"/>
      <c r="C21" s="653"/>
      <c r="D21" s="653"/>
      <c r="E21" s="139"/>
      <c r="F21" s="139"/>
      <c r="G21" s="140"/>
      <c r="H21" s="749"/>
      <c r="I21" s="140"/>
      <c r="J21" s="142"/>
      <c r="K21" s="143"/>
      <c r="L21" s="750"/>
      <c r="M21" s="140"/>
      <c r="N21" s="140"/>
    </row>
    <row r="22" spans="1:14" hidden="1">
      <c r="A22" s="748"/>
      <c r="B22" s="653"/>
      <c r="C22" s="653"/>
      <c r="D22" s="653"/>
      <c r="E22" s="139"/>
      <c r="F22" s="139"/>
      <c r="G22" s="140"/>
      <c r="H22" s="749"/>
      <c r="I22" s="140"/>
      <c r="J22" s="142"/>
      <c r="K22" s="143"/>
      <c r="L22" s="750"/>
      <c r="M22" s="140"/>
      <c r="N22" s="140"/>
    </row>
    <row r="23" spans="1:14">
      <c r="A23" s="751">
        <f>+A13+1</f>
        <v>17</v>
      </c>
      <c r="B23" s="145" t="s">
        <v>102</v>
      </c>
      <c r="C23" s="145"/>
      <c r="D23" s="145"/>
      <c r="E23" s="146"/>
      <c r="F23" s="146"/>
      <c r="G23" s="752"/>
      <c r="H23" s="423"/>
      <c r="I23" s="189"/>
      <c r="J23" s="423"/>
      <c r="K23" s="189"/>
      <c r="L23" s="423"/>
      <c r="M23" s="189"/>
      <c r="N23" s="189"/>
    </row>
    <row r="24" spans="1:14">
      <c r="A24" s="201"/>
      <c r="B24" s="145"/>
      <c r="C24" s="145"/>
      <c r="D24" s="145"/>
      <c r="E24" s="146"/>
      <c r="F24" s="146"/>
      <c r="G24" s="189"/>
      <c r="H24" s="423"/>
      <c r="I24" s="189"/>
      <c r="J24" s="423"/>
      <c r="K24" s="189"/>
      <c r="L24" s="423"/>
      <c r="M24" s="189"/>
      <c r="N24" s="189"/>
    </row>
    <row r="25" spans="1:14" ht="15" customHeight="1">
      <c r="A25" s="201"/>
      <c r="B25" s="1204" t="s">
        <v>334</v>
      </c>
      <c r="C25" s="1204"/>
      <c r="D25" s="1204"/>
      <c r="E25" s="1204"/>
      <c r="F25" s="1204"/>
      <c r="G25" s="1204"/>
      <c r="H25" s="1204"/>
      <c r="I25" s="1204"/>
      <c r="J25" s="1204"/>
      <c r="K25" s="1204"/>
      <c r="L25" s="1204"/>
      <c r="M25" s="1204"/>
      <c r="N25" s="753"/>
    </row>
    <row r="26" spans="1:14" ht="12.75" customHeight="1">
      <c r="A26" s="201"/>
      <c r="B26" s="1204"/>
      <c r="C26" s="1204"/>
      <c r="D26" s="1204"/>
      <c r="E26" s="1204"/>
      <c r="F26" s="1204"/>
      <c r="G26" s="1204"/>
      <c r="H26" s="1204"/>
      <c r="I26" s="1204"/>
      <c r="J26" s="1204"/>
      <c r="K26" s="1204"/>
      <c r="L26" s="1204"/>
      <c r="M26" s="1204"/>
      <c r="N26" s="753"/>
    </row>
    <row r="27" spans="1:14">
      <c r="A27" s="754"/>
      <c r="B27" s="115"/>
      <c r="C27" s="115"/>
      <c r="D27" s="115"/>
      <c r="E27" s="422"/>
      <c r="F27" s="422"/>
      <c r="G27" s="189"/>
      <c r="H27" s="755"/>
      <c r="I27" s="200"/>
      <c r="J27" s="755"/>
      <c r="K27" s="189"/>
      <c r="L27" s="423"/>
      <c r="M27" s="189"/>
      <c r="N27" s="189"/>
    </row>
    <row r="28" spans="1:14">
      <c r="A28" s="1100" t="str">
        <f>'UHF New'!A62:L62</f>
        <v>MCB-Arif Habib Savings and Investments Limited</v>
      </c>
      <c r="B28" s="1100"/>
      <c r="C28" s="1100"/>
      <c r="D28" s="1100"/>
      <c r="E28" s="1100"/>
      <c r="F28" s="1100"/>
      <c r="G28" s="1100"/>
      <c r="H28" s="1100"/>
      <c r="I28" s="1100"/>
      <c r="J28" s="1100"/>
      <c r="K28" s="1100"/>
      <c r="L28" s="1100"/>
      <c r="M28" s="1100"/>
      <c r="N28" s="649"/>
    </row>
    <row r="29" spans="1:14">
      <c r="A29" s="1100" t="str">
        <f>'UHF New'!A63:L63</f>
        <v>(Management Company)</v>
      </c>
      <c r="B29" s="1100"/>
      <c r="C29" s="1100"/>
      <c r="D29" s="1100"/>
      <c r="E29" s="1100"/>
      <c r="F29" s="1100"/>
      <c r="G29" s="1100"/>
      <c r="H29" s="1100"/>
      <c r="I29" s="1100"/>
      <c r="J29" s="1100"/>
      <c r="K29" s="1100"/>
      <c r="L29" s="1100"/>
      <c r="M29" s="1100"/>
      <c r="N29" s="649"/>
    </row>
    <row r="30" spans="1:14">
      <c r="A30" s="145"/>
      <c r="B30" s="649"/>
      <c r="C30" s="649"/>
      <c r="D30" s="649"/>
      <c r="E30" s="368"/>
      <c r="F30" s="368"/>
      <c r="G30" s="649"/>
      <c r="H30" s="368"/>
      <c r="I30" s="649"/>
      <c r="J30" s="368"/>
      <c r="K30" s="283"/>
      <c r="L30" s="123"/>
      <c r="M30" s="283"/>
      <c r="N30" s="283"/>
    </row>
    <row r="31" spans="1:14">
      <c r="A31" s="145"/>
      <c r="B31" s="649"/>
      <c r="C31" s="649"/>
      <c r="D31" s="649"/>
      <c r="E31" s="368"/>
      <c r="F31" s="368"/>
      <c r="G31" s="649"/>
      <c r="H31" s="368"/>
      <c r="I31" s="649"/>
      <c r="J31" s="368"/>
      <c r="K31" s="283"/>
      <c r="L31" s="123"/>
      <c r="M31" s="283"/>
      <c r="N31" s="283"/>
    </row>
    <row r="32" spans="1:14">
      <c r="A32" s="145"/>
      <c r="B32" s="649"/>
      <c r="C32" s="649"/>
      <c r="D32" s="649"/>
      <c r="E32" s="368"/>
      <c r="F32" s="368"/>
      <c r="G32" s="649"/>
      <c r="H32" s="368"/>
      <c r="I32" s="649"/>
      <c r="J32" s="368"/>
      <c r="K32" s="283"/>
      <c r="L32" s="123"/>
      <c r="M32" s="283"/>
      <c r="N32" s="283"/>
    </row>
    <row r="33" spans="1:14">
      <c r="A33" s="145"/>
      <c r="B33" s="649"/>
      <c r="C33" s="649"/>
      <c r="D33" s="649"/>
      <c r="E33" s="368"/>
      <c r="F33" s="368"/>
      <c r="G33" s="649"/>
      <c r="H33" s="368"/>
      <c r="I33" s="649"/>
      <c r="J33" s="368"/>
      <c r="K33" s="283"/>
      <c r="L33" s="123"/>
      <c r="M33" s="283"/>
      <c r="N33" s="283"/>
    </row>
    <row r="34" spans="1:14">
      <c r="A34" s="115"/>
      <c r="B34" s="115"/>
      <c r="C34" s="115"/>
      <c r="D34" s="115"/>
      <c r="E34" s="422"/>
      <c r="F34" s="422"/>
      <c r="G34" s="189"/>
      <c r="H34" s="423"/>
      <c r="I34" s="189"/>
      <c r="J34" s="423"/>
      <c r="K34" s="189"/>
      <c r="L34" s="423"/>
      <c r="M34" s="189"/>
      <c r="N34" s="189"/>
    </row>
    <row r="35" spans="1:14">
      <c r="A35" s="756"/>
      <c r="B35" s="609"/>
      <c r="D35" s="756"/>
      <c r="E35" s="474"/>
      <c r="F35" s="757"/>
      <c r="G35" s="474"/>
      <c r="H35" s="757"/>
      <c r="I35" s="1203"/>
      <c r="J35" s="1203"/>
      <c r="K35" s="1203"/>
      <c r="L35" s="1203"/>
      <c r="M35" s="126"/>
      <c r="N35" s="126"/>
    </row>
    <row r="36" spans="1:14">
      <c r="A36" s="1093" t="s">
        <v>340</v>
      </c>
      <c r="B36" s="1093"/>
      <c r="C36" s="1093"/>
      <c r="D36" s="283"/>
      <c r="E36" s="1096" t="s">
        <v>340</v>
      </c>
      <c r="F36" s="1096"/>
      <c r="G36" s="1096"/>
      <c r="H36" s="1096"/>
      <c r="I36" s="1096"/>
      <c r="J36" s="423"/>
      <c r="K36" s="189"/>
      <c r="L36" s="671" t="s">
        <v>342</v>
      </c>
      <c r="M36" s="649"/>
      <c r="N36" s="649"/>
    </row>
    <row r="37" spans="1:14">
      <c r="A37" s="1092" t="s">
        <v>345</v>
      </c>
      <c r="B37" s="1092"/>
      <c r="C37" s="1092"/>
      <c r="D37" s="189"/>
      <c r="E37" s="1092" t="s">
        <v>341</v>
      </c>
      <c r="F37" s="1092"/>
      <c r="G37" s="1092"/>
      <c r="H37" s="1092"/>
      <c r="I37" s="1092"/>
      <c r="J37" s="423"/>
      <c r="K37" s="189"/>
      <c r="L37" s="647" t="s">
        <v>343</v>
      </c>
      <c r="M37" s="189"/>
      <c r="N37" s="189"/>
    </row>
    <row r="38" spans="1:14">
      <c r="A38" s="115"/>
      <c r="B38" s="189"/>
      <c r="C38" s="189"/>
      <c r="D38" s="189"/>
      <c r="E38" s="423"/>
      <c r="F38" s="423"/>
      <c r="G38" s="189"/>
      <c r="H38" s="423"/>
      <c r="I38" s="189"/>
      <c r="J38" s="423"/>
      <c r="K38" s="189"/>
      <c r="L38" s="423"/>
      <c r="M38" s="189"/>
      <c r="N38" s="189"/>
    </row>
    <row r="39" spans="1:14">
      <c r="A39" s="115"/>
      <c r="B39" s="189"/>
      <c r="C39" s="189"/>
      <c r="D39" s="189"/>
      <c r="E39" s="423"/>
      <c r="F39" s="423"/>
      <c r="G39" s="189"/>
      <c r="H39" s="423"/>
      <c r="I39" s="189"/>
      <c r="J39" s="423"/>
      <c r="K39" s="189"/>
      <c r="L39" s="423"/>
      <c r="M39" s="189"/>
      <c r="N39" s="189"/>
    </row>
  </sheetData>
  <mergeCells count="12">
    <mergeCell ref="I5:M5"/>
    <mergeCell ref="A36:C36"/>
    <mergeCell ref="A37:C37"/>
    <mergeCell ref="E36:I36"/>
    <mergeCell ref="E37:I37"/>
    <mergeCell ref="B10:M10"/>
    <mergeCell ref="I35:L35"/>
    <mergeCell ref="A28:M28"/>
    <mergeCell ref="A29:M29"/>
    <mergeCell ref="B25:M26"/>
    <mergeCell ref="B15:M16"/>
    <mergeCell ref="B18:M19"/>
  </mergeCells>
  <pageMargins left="0.75" right="0.5" top="0.75" bottom="0.5" header="0.4" footer="0.2"/>
  <pageSetup paperSize="9" scale="7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3"/>
  <sheetViews>
    <sheetView topLeftCell="A79" workbookViewId="0">
      <selection activeCell="E94" sqref="E94"/>
    </sheetView>
  </sheetViews>
  <sheetFormatPr defaultColWidth="9.109375" defaultRowHeight="14.4"/>
  <cols>
    <col min="1" max="1" width="13.109375" style="37" customWidth="1"/>
    <col min="2" max="2" width="85.88671875" style="37" customWidth="1"/>
    <col min="3" max="3" width="12.44140625" style="38" bestFit="1" customWidth="1"/>
    <col min="4" max="4" width="18" style="38" bestFit="1" customWidth="1"/>
    <col min="5" max="5" width="16" style="37" bestFit="1" customWidth="1"/>
    <col min="6" max="6" width="14.44140625" style="37" bestFit="1" customWidth="1"/>
    <col min="7" max="7" width="15.44140625" style="37" bestFit="1" customWidth="1"/>
    <col min="8" max="16384" width="9.109375" style="37"/>
  </cols>
  <sheetData>
    <row r="1" spans="1:8">
      <c r="A1" s="37" t="s">
        <v>184</v>
      </c>
    </row>
    <row r="2" spans="1:8">
      <c r="A2" s="37" t="s">
        <v>185</v>
      </c>
      <c r="B2" s="37" t="s">
        <v>186</v>
      </c>
      <c r="C2" s="38" t="s">
        <v>187</v>
      </c>
      <c r="D2" s="38" t="s">
        <v>188</v>
      </c>
    </row>
    <row r="3" spans="1:8">
      <c r="A3" s="1206" t="s">
        <v>434</v>
      </c>
      <c r="B3" s="1206"/>
    </row>
    <row r="4" spans="1:8">
      <c r="A4" s="36">
        <v>10100100021</v>
      </c>
      <c r="B4" s="37" t="s">
        <v>189</v>
      </c>
      <c r="C4" s="38">
        <v>8762.5429499999991</v>
      </c>
      <c r="D4" s="38">
        <v>0</v>
      </c>
      <c r="E4" s="836"/>
      <c r="F4" s="837"/>
      <c r="G4" s="837"/>
      <c r="H4" s="836"/>
    </row>
    <row r="5" spans="1:8">
      <c r="A5" s="36">
        <v>10100100060</v>
      </c>
      <c r="B5" s="37" t="s">
        <v>190</v>
      </c>
      <c r="C5" s="38">
        <v>3.1261900000000002</v>
      </c>
      <c r="D5" s="38">
        <v>0</v>
      </c>
      <c r="E5" s="836"/>
      <c r="G5" s="837"/>
      <c r="H5" s="836"/>
    </row>
    <row r="6" spans="1:8">
      <c r="A6" s="36">
        <v>10100100065</v>
      </c>
      <c r="B6" s="37" t="s">
        <v>191</v>
      </c>
      <c r="C6" s="38">
        <v>17880.094280000001</v>
      </c>
      <c r="D6" s="38">
        <v>0</v>
      </c>
      <c r="E6" s="836"/>
      <c r="G6" s="837"/>
      <c r="H6" s="836"/>
    </row>
    <row r="7" spans="1:8">
      <c r="A7" s="36">
        <v>10100100066</v>
      </c>
      <c r="B7" s="37" t="s">
        <v>192</v>
      </c>
      <c r="C7" s="38">
        <v>11.170200000000001</v>
      </c>
      <c r="D7" s="38">
        <v>0</v>
      </c>
      <c r="E7" s="836"/>
      <c r="G7" s="837"/>
      <c r="H7" s="836"/>
    </row>
    <row r="8" spans="1:8">
      <c r="A8" s="36">
        <v>10100100118</v>
      </c>
      <c r="B8" s="37" t="s">
        <v>193</v>
      </c>
      <c r="C8" s="38">
        <v>3684574.7246999997</v>
      </c>
      <c r="D8" s="38">
        <v>0</v>
      </c>
      <c r="E8" s="836"/>
      <c r="G8" s="837"/>
      <c r="H8" s="836"/>
    </row>
    <row r="9" spans="1:8">
      <c r="A9" s="36">
        <v>10100100121</v>
      </c>
      <c r="B9" s="37" t="s">
        <v>194</v>
      </c>
      <c r="C9" s="38">
        <v>2186.0003999999999</v>
      </c>
      <c r="D9" s="38">
        <v>0</v>
      </c>
      <c r="E9" s="836"/>
      <c r="G9" s="837"/>
      <c r="H9" s="836"/>
    </row>
    <row r="10" spans="1:8">
      <c r="A10" s="36">
        <v>10100100128</v>
      </c>
      <c r="B10" s="37" t="s">
        <v>195</v>
      </c>
      <c r="C10" s="38">
        <v>2.23211</v>
      </c>
      <c r="D10" s="38">
        <v>0</v>
      </c>
      <c r="E10" s="836"/>
      <c r="G10" s="837"/>
      <c r="H10" s="836"/>
    </row>
    <row r="11" spans="1:8">
      <c r="A11" s="36">
        <v>10100100131</v>
      </c>
      <c r="B11" s="37" t="s">
        <v>370</v>
      </c>
      <c r="C11" s="38">
        <v>8.0440000000000005</v>
      </c>
      <c r="D11" s="38">
        <v>0</v>
      </c>
      <c r="E11" s="836"/>
      <c r="F11" s="836"/>
      <c r="G11" s="837"/>
      <c r="H11" s="836"/>
    </row>
    <row r="12" spans="1:8">
      <c r="A12" s="36">
        <v>10100100139</v>
      </c>
      <c r="B12" s="37" t="s">
        <v>422</v>
      </c>
      <c r="C12" s="38">
        <v>10</v>
      </c>
      <c r="D12" s="38">
        <v>0</v>
      </c>
      <c r="E12" s="40">
        <f>SUM(C4:C13)</f>
        <v>8405549.5398299992</v>
      </c>
      <c r="F12" s="40" t="s">
        <v>432</v>
      </c>
      <c r="G12" s="840"/>
      <c r="H12" s="836"/>
    </row>
    <row r="13" spans="1:8">
      <c r="A13" s="36">
        <v>10100100141</v>
      </c>
      <c r="B13" s="37" t="s">
        <v>533</v>
      </c>
      <c r="C13" s="38">
        <v>4692111.6050000004</v>
      </c>
      <c r="D13" s="38">
        <v>0</v>
      </c>
      <c r="E13" s="836"/>
      <c r="F13" s="836"/>
      <c r="G13" s="837"/>
      <c r="H13" s="836"/>
    </row>
    <row r="14" spans="1:8">
      <c r="A14" s="36"/>
      <c r="E14" s="836"/>
      <c r="F14" s="836"/>
      <c r="G14" s="837"/>
      <c r="H14" s="836"/>
    </row>
    <row r="15" spans="1:8">
      <c r="A15" s="1207" t="s">
        <v>435</v>
      </c>
      <c r="B15" s="1207"/>
      <c r="C15" s="38">
        <v>0</v>
      </c>
      <c r="D15" s="38">
        <v>0</v>
      </c>
      <c r="G15" s="837"/>
      <c r="H15" s="836"/>
    </row>
    <row r="16" spans="1:8">
      <c r="A16" s="36">
        <v>10300700001</v>
      </c>
      <c r="B16" s="37" t="s">
        <v>371</v>
      </c>
      <c r="C16" s="38">
        <v>675000</v>
      </c>
      <c r="D16" s="38">
        <v>0</v>
      </c>
      <c r="E16" s="836"/>
      <c r="G16" s="837"/>
      <c r="H16" s="836"/>
    </row>
    <row r="17" spans="1:9">
      <c r="A17" s="36">
        <v>10300700003</v>
      </c>
      <c r="B17" s="37" t="s">
        <v>372</v>
      </c>
      <c r="C17" s="38">
        <v>0</v>
      </c>
      <c r="D17" s="38">
        <v>6349.2</v>
      </c>
      <c r="E17" s="836"/>
      <c r="F17" s="836"/>
      <c r="G17" s="837"/>
      <c r="H17" s="836"/>
    </row>
    <row r="18" spans="1:9">
      <c r="A18" s="36">
        <v>10300900001</v>
      </c>
      <c r="B18" s="37" t="s">
        <v>196</v>
      </c>
      <c r="C18" s="38">
        <v>406000</v>
      </c>
      <c r="D18" s="38">
        <v>0</v>
      </c>
      <c r="E18" s="836"/>
      <c r="G18" s="837"/>
      <c r="H18" s="836"/>
    </row>
    <row r="19" spans="1:9">
      <c r="A19" s="36">
        <v>10300900002</v>
      </c>
      <c r="B19" s="37" t="s">
        <v>423</v>
      </c>
      <c r="C19" s="38">
        <v>0</v>
      </c>
      <c r="D19" s="38">
        <v>1E-3</v>
      </c>
      <c r="E19" s="836"/>
      <c r="G19" s="837"/>
      <c r="H19" s="836"/>
    </row>
    <row r="20" spans="1:9">
      <c r="A20" s="36"/>
      <c r="E20" s="40">
        <f>C20+C18+C16-D17</f>
        <v>1074650.8</v>
      </c>
      <c r="F20" s="40" t="s">
        <v>433</v>
      </c>
      <c r="G20" s="840"/>
      <c r="H20" s="836"/>
    </row>
    <row r="21" spans="1:9">
      <c r="A21" s="1207" t="s">
        <v>368</v>
      </c>
      <c r="B21" s="1207"/>
      <c r="C21" s="38">
        <v>0</v>
      </c>
      <c r="D21" s="38">
        <v>0</v>
      </c>
      <c r="G21" s="837"/>
      <c r="H21" s="836"/>
    </row>
    <row r="22" spans="1:9">
      <c r="A22" s="838">
        <v>10600500001</v>
      </c>
      <c r="B22" s="37" t="s">
        <v>197</v>
      </c>
      <c r="C22" s="38">
        <v>8.9999999999999993E-3</v>
      </c>
      <c r="D22" s="38">
        <v>0</v>
      </c>
      <c r="E22" s="836"/>
      <c r="G22" s="837"/>
      <c r="H22" s="836"/>
    </row>
    <row r="23" spans="1:9">
      <c r="A23" s="838">
        <v>10601100001</v>
      </c>
      <c r="B23" s="37" t="s">
        <v>198</v>
      </c>
      <c r="C23" s="38">
        <v>1.0000000000000001E-5</v>
      </c>
      <c r="D23" s="38">
        <v>0</v>
      </c>
      <c r="E23" s="836"/>
      <c r="G23" s="837"/>
      <c r="H23" s="836"/>
    </row>
    <row r="24" spans="1:9">
      <c r="A24" s="838">
        <v>10601100005</v>
      </c>
      <c r="B24" s="37" t="s">
        <v>199</v>
      </c>
      <c r="C24" s="38">
        <v>1.0000000000000001E-5</v>
      </c>
      <c r="D24" s="38">
        <v>0</v>
      </c>
      <c r="E24" s="836"/>
      <c r="G24" s="837"/>
      <c r="H24" s="836"/>
    </row>
    <row r="25" spans="1:9">
      <c r="A25" s="838">
        <v>10601100014</v>
      </c>
      <c r="B25" s="37" t="s">
        <v>200</v>
      </c>
      <c r="C25" s="38">
        <v>1.0000000000000001E-5</v>
      </c>
      <c r="D25" s="38">
        <v>0</v>
      </c>
      <c r="E25" s="836"/>
      <c r="G25" s="837"/>
      <c r="H25" s="836"/>
    </row>
    <row r="26" spans="1:9">
      <c r="A26" s="838">
        <v>10601100038</v>
      </c>
      <c r="B26" s="37" t="s">
        <v>201</v>
      </c>
      <c r="C26" s="38">
        <v>6.2300000000000003E-3</v>
      </c>
      <c r="D26" s="38">
        <v>0</v>
      </c>
      <c r="E26" s="836"/>
      <c r="G26" s="837"/>
      <c r="H26" s="836"/>
    </row>
    <row r="27" spans="1:9">
      <c r="A27" s="838">
        <v>10601100040</v>
      </c>
      <c r="B27" s="37" t="s">
        <v>202</v>
      </c>
      <c r="C27" s="38">
        <v>6613.0117699999992</v>
      </c>
      <c r="D27" s="38">
        <v>0</v>
      </c>
      <c r="E27" s="836"/>
      <c r="G27" s="837"/>
      <c r="H27" s="836"/>
    </row>
    <row r="28" spans="1:9">
      <c r="A28" s="838">
        <v>10601100098</v>
      </c>
      <c r="B28" s="37" t="s">
        <v>203</v>
      </c>
      <c r="C28" s="38">
        <v>1.0000000000000001E-5</v>
      </c>
      <c r="D28" s="38">
        <v>0</v>
      </c>
      <c r="E28" s="836"/>
      <c r="G28" s="837"/>
      <c r="H28" s="836"/>
    </row>
    <row r="29" spans="1:9">
      <c r="A29" s="838">
        <v>10601100109</v>
      </c>
      <c r="B29" s="37" t="s">
        <v>389</v>
      </c>
      <c r="C29" s="38">
        <v>58363.821100000001</v>
      </c>
      <c r="D29" s="38">
        <v>0</v>
      </c>
      <c r="E29" s="836"/>
      <c r="G29" s="837"/>
      <c r="H29" s="836"/>
    </row>
    <row r="30" spans="1:9">
      <c r="A30" s="838">
        <v>10601100119</v>
      </c>
      <c r="B30" s="37" t="s">
        <v>204</v>
      </c>
      <c r="C30" s="38">
        <v>9.0400000000000012E-3</v>
      </c>
      <c r="D30" s="38">
        <v>0</v>
      </c>
      <c r="E30" s="836"/>
      <c r="G30" s="837"/>
      <c r="H30" s="836"/>
    </row>
    <row r="31" spans="1:9">
      <c r="A31" s="838">
        <v>10601100120</v>
      </c>
      <c r="B31" s="37" t="s">
        <v>205</v>
      </c>
      <c r="C31" s="38">
        <v>20161.82215</v>
      </c>
      <c r="D31" s="38">
        <v>0</v>
      </c>
      <c r="E31" s="836"/>
      <c r="G31" s="837"/>
      <c r="H31" s="836"/>
    </row>
    <row r="32" spans="1:9">
      <c r="A32" s="838">
        <v>10601100133</v>
      </c>
      <c r="B32" s="37" t="s">
        <v>534</v>
      </c>
      <c r="C32" s="38">
        <v>1381.923</v>
      </c>
      <c r="D32" s="38">
        <v>0</v>
      </c>
      <c r="E32" s="40">
        <f>SUM(C22:C33)</f>
        <v>102387.90272</v>
      </c>
      <c r="F32" s="40" t="s">
        <v>470</v>
      </c>
      <c r="G32" s="840"/>
      <c r="H32" s="40"/>
      <c r="I32" s="42"/>
    </row>
    <row r="33" spans="1:8">
      <c r="A33" s="838">
        <v>10601200001</v>
      </c>
      <c r="B33" s="37" t="s">
        <v>206</v>
      </c>
      <c r="C33" s="38">
        <v>15867.30039</v>
      </c>
      <c r="D33" s="38">
        <v>0</v>
      </c>
      <c r="E33" s="836"/>
      <c r="F33" s="836"/>
      <c r="G33" s="837"/>
      <c r="H33" s="836"/>
    </row>
    <row r="34" spans="1:8">
      <c r="A34" s="838"/>
      <c r="E34" s="836"/>
      <c r="F34" s="836"/>
      <c r="G34" s="837"/>
      <c r="H34" s="836"/>
    </row>
    <row r="35" spans="1:8">
      <c r="A35" s="838"/>
      <c r="E35" s="836"/>
      <c r="F35" s="836"/>
      <c r="G35" s="837"/>
      <c r="H35" s="836"/>
    </row>
    <row r="36" spans="1:8">
      <c r="A36" s="1207" t="s">
        <v>351</v>
      </c>
      <c r="B36" s="1207"/>
      <c r="C36" s="38">
        <v>0</v>
      </c>
      <c r="D36" s="38">
        <v>0</v>
      </c>
      <c r="G36" s="837"/>
      <c r="H36" s="836"/>
    </row>
    <row r="37" spans="1:8">
      <c r="A37" s="36">
        <v>10700300001</v>
      </c>
      <c r="B37" s="37" t="s">
        <v>181</v>
      </c>
      <c r="C37" s="38">
        <v>864.97397000000001</v>
      </c>
      <c r="D37" s="38">
        <v>0</v>
      </c>
      <c r="E37" s="836"/>
      <c r="G37" s="837"/>
      <c r="H37" s="836"/>
    </row>
    <row r="38" spans="1:8">
      <c r="A38" s="36">
        <v>10700400001</v>
      </c>
      <c r="B38" s="37" t="s">
        <v>207</v>
      </c>
      <c r="C38" s="38">
        <v>492.45850000000002</v>
      </c>
      <c r="D38" s="38">
        <v>0</v>
      </c>
      <c r="E38" s="836"/>
      <c r="G38" s="837"/>
      <c r="H38" s="836"/>
    </row>
    <row r="39" spans="1:8">
      <c r="A39" s="36"/>
      <c r="C39" s="38">
        <v>0</v>
      </c>
      <c r="D39" s="38">
        <v>0</v>
      </c>
      <c r="E39" s="836"/>
      <c r="G39" s="837"/>
      <c r="H39" s="836"/>
    </row>
    <row r="40" spans="1:8">
      <c r="A40" s="36">
        <v>10700600001</v>
      </c>
      <c r="B40" s="37" t="s">
        <v>208</v>
      </c>
      <c r="C40" s="38">
        <v>100</v>
      </c>
      <c r="D40" s="38">
        <v>0</v>
      </c>
      <c r="E40" s="836"/>
      <c r="G40" s="837"/>
      <c r="H40" s="836"/>
    </row>
    <row r="41" spans="1:8">
      <c r="A41" s="36">
        <v>10700700005</v>
      </c>
      <c r="B41" s="37" t="s">
        <v>373</v>
      </c>
      <c r="C41" s="38">
        <v>0</v>
      </c>
      <c r="D41" s="38">
        <v>46.530270000000002</v>
      </c>
      <c r="E41" s="836"/>
      <c r="G41" s="837"/>
      <c r="H41" s="836"/>
    </row>
    <row r="42" spans="1:8">
      <c r="A42" s="36">
        <v>10700700008</v>
      </c>
      <c r="B42" s="37" t="s">
        <v>374</v>
      </c>
      <c r="C42" s="38">
        <v>25.029</v>
      </c>
      <c r="D42" s="38">
        <v>0</v>
      </c>
      <c r="E42" s="836"/>
      <c r="G42" s="837"/>
      <c r="H42" s="836"/>
    </row>
    <row r="43" spans="1:8">
      <c r="A43" s="36">
        <v>10700700009</v>
      </c>
      <c r="B43" s="37" t="s">
        <v>209</v>
      </c>
      <c r="C43" s="38">
        <v>13.74962</v>
      </c>
      <c r="D43" s="38">
        <v>0</v>
      </c>
      <c r="E43" s="836"/>
      <c r="F43" s="836"/>
      <c r="G43" s="837"/>
      <c r="H43" s="836"/>
    </row>
    <row r="44" spans="1:8">
      <c r="A44" s="36"/>
      <c r="C44" s="38">
        <v>0</v>
      </c>
      <c r="D44" s="38">
        <v>0</v>
      </c>
      <c r="E44" s="836"/>
      <c r="G44" s="837"/>
      <c r="H44" s="836"/>
    </row>
    <row r="45" spans="1:8">
      <c r="A45" s="36">
        <v>1070110009</v>
      </c>
      <c r="B45" s="37" t="s">
        <v>182</v>
      </c>
      <c r="C45" s="38">
        <v>5.7159000000000004</v>
      </c>
      <c r="D45" s="38">
        <v>0</v>
      </c>
      <c r="E45" s="836"/>
      <c r="G45" s="837"/>
      <c r="H45" s="836"/>
    </row>
    <row r="46" spans="1:8">
      <c r="A46" s="36">
        <v>10800100001</v>
      </c>
      <c r="B46" s="37" t="s">
        <v>210</v>
      </c>
      <c r="C46" s="38">
        <v>733.00699999999995</v>
      </c>
      <c r="D46" s="38">
        <v>0</v>
      </c>
      <c r="E46" s="836"/>
      <c r="G46" s="837"/>
      <c r="H46" s="836"/>
    </row>
    <row r="47" spans="1:8">
      <c r="A47" s="36">
        <v>10800100002</v>
      </c>
      <c r="B47" s="37" t="s">
        <v>211</v>
      </c>
      <c r="C47" s="38">
        <v>0</v>
      </c>
      <c r="D47" s="38">
        <v>733.00699999999995</v>
      </c>
      <c r="E47" s="836" t="e">
        <f>#REF!+#REF!+#REF!+C37+C38+C40+C41+C42+C43+C45+C49-D41-D42</f>
        <v>#REF!</v>
      </c>
      <c r="F47" s="836"/>
      <c r="G47" s="837"/>
      <c r="H47" s="836"/>
    </row>
    <row r="48" spans="1:8">
      <c r="A48" s="36"/>
      <c r="E48" s="836"/>
      <c r="G48" s="837"/>
      <c r="H48" s="836"/>
    </row>
    <row r="49" spans="1:8">
      <c r="A49" s="36">
        <v>10900200001</v>
      </c>
      <c r="B49" s="37" t="s">
        <v>183</v>
      </c>
      <c r="C49" s="38">
        <v>1.512</v>
      </c>
      <c r="D49" s="38">
        <v>0</v>
      </c>
      <c r="E49" s="836"/>
      <c r="G49" s="837"/>
      <c r="H49" s="836"/>
    </row>
    <row r="50" spans="1:8">
      <c r="A50" s="36">
        <v>11500100002</v>
      </c>
      <c r="B50" s="37" t="s">
        <v>424</v>
      </c>
      <c r="C50" s="38">
        <v>2.5938400000000001</v>
      </c>
      <c r="D50" s="38">
        <v>0</v>
      </c>
      <c r="E50" s="40">
        <f>C37+C38+C40+C42+C43+C45+C46+C49+C50-D41-D47</f>
        <v>1459.5025599999999</v>
      </c>
      <c r="F50" s="42" t="s">
        <v>471</v>
      </c>
      <c r="G50" s="840"/>
      <c r="H50" s="836"/>
    </row>
    <row r="51" spans="1:8">
      <c r="A51" s="36"/>
      <c r="E51" s="836"/>
      <c r="G51" s="837"/>
      <c r="H51" s="836"/>
    </row>
    <row r="52" spans="1:8">
      <c r="A52" s="36">
        <v>20100100001</v>
      </c>
      <c r="B52" s="37" t="s">
        <v>212</v>
      </c>
      <c r="C52" s="38">
        <v>0</v>
      </c>
      <c r="D52" s="38">
        <v>12635922.786959998</v>
      </c>
      <c r="E52" s="836"/>
      <c r="G52" s="837"/>
      <c r="H52" s="836"/>
    </row>
    <row r="53" spans="1:8">
      <c r="A53" s="36">
        <v>20100200001</v>
      </c>
      <c r="B53" s="37" t="s">
        <v>213</v>
      </c>
      <c r="C53" s="38">
        <v>16039627.52293</v>
      </c>
      <c r="D53" s="38">
        <v>0</v>
      </c>
      <c r="E53" s="836"/>
      <c r="G53" s="837"/>
      <c r="H53" s="836"/>
    </row>
    <row r="54" spans="1:8">
      <c r="A54" s="36">
        <v>20100300001</v>
      </c>
      <c r="B54" s="37" t="s">
        <v>214</v>
      </c>
      <c r="C54" s="38">
        <v>0</v>
      </c>
      <c r="D54" s="38">
        <v>919435.19002999994</v>
      </c>
      <c r="E54" s="836"/>
      <c r="G54" s="837"/>
      <c r="H54" s="836"/>
    </row>
    <row r="55" spans="1:8">
      <c r="A55" s="36">
        <v>20100400001</v>
      </c>
      <c r="B55" s="37" t="s">
        <v>215</v>
      </c>
      <c r="C55" s="38">
        <v>3207703.19105</v>
      </c>
      <c r="D55" s="38">
        <v>0</v>
      </c>
      <c r="E55" s="836"/>
      <c r="G55" s="837"/>
      <c r="H55" s="836"/>
    </row>
    <row r="56" spans="1:8">
      <c r="A56" s="36"/>
      <c r="C56" s="38">
        <v>0</v>
      </c>
      <c r="D56" s="38">
        <v>0</v>
      </c>
      <c r="G56" s="837"/>
      <c r="H56" s="836"/>
    </row>
    <row r="57" spans="1:8">
      <c r="A57" s="36">
        <v>20200200001</v>
      </c>
      <c r="B57" s="37" t="s">
        <v>216</v>
      </c>
      <c r="C57" s="38">
        <v>28028.278739999998</v>
      </c>
      <c r="D57" s="38">
        <v>0</v>
      </c>
      <c r="E57" s="836"/>
      <c r="G57" s="837"/>
      <c r="H57" s="836"/>
    </row>
    <row r="58" spans="1:8">
      <c r="A58" s="36"/>
      <c r="C58" s="38">
        <v>0</v>
      </c>
      <c r="D58" s="38">
        <v>0</v>
      </c>
      <c r="G58" s="837"/>
      <c r="H58" s="836"/>
    </row>
    <row r="59" spans="1:8">
      <c r="A59" s="1208" t="s">
        <v>296</v>
      </c>
      <c r="B59" s="1208"/>
      <c r="C59" s="1208"/>
      <c r="D59" s="38">
        <v>0</v>
      </c>
      <c r="G59" s="837"/>
      <c r="H59" s="836"/>
    </row>
    <row r="60" spans="1:8">
      <c r="A60" s="36">
        <v>20300100001</v>
      </c>
      <c r="B60" s="37" t="s">
        <v>217</v>
      </c>
      <c r="C60" s="38">
        <v>884272.68764999998</v>
      </c>
      <c r="D60" s="38">
        <v>0</v>
      </c>
      <c r="E60" s="836"/>
      <c r="G60" s="837"/>
      <c r="H60" s="836"/>
    </row>
    <row r="61" spans="1:8">
      <c r="A61" s="36">
        <v>20500100001</v>
      </c>
      <c r="B61" s="37" t="s">
        <v>218</v>
      </c>
      <c r="C61" s="38">
        <v>0</v>
      </c>
      <c r="D61" s="38">
        <v>15257630.22302</v>
      </c>
      <c r="E61" s="836"/>
      <c r="G61" s="837"/>
      <c r="H61" s="836"/>
    </row>
    <row r="62" spans="1:8">
      <c r="A62" s="36">
        <v>30100100001</v>
      </c>
      <c r="B62" s="37" t="s">
        <v>219</v>
      </c>
      <c r="C62" s="38">
        <v>0</v>
      </c>
      <c r="D62" s="38">
        <v>149.22720000000001</v>
      </c>
      <c r="E62" s="836"/>
      <c r="G62" s="837"/>
      <c r="H62" s="836"/>
    </row>
    <row r="63" spans="1:8">
      <c r="A63" s="36">
        <v>30100200001</v>
      </c>
      <c r="B63" s="37" t="s">
        <v>220</v>
      </c>
      <c r="C63" s="38">
        <v>0</v>
      </c>
      <c r="D63" s="38">
        <v>0.11237</v>
      </c>
      <c r="E63" s="836"/>
      <c r="G63" s="837"/>
      <c r="H63" s="836"/>
    </row>
    <row r="64" spans="1:8">
      <c r="A64" s="36">
        <v>30100600001</v>
      </c>
      <c r="B64" s="37" t="s">
        <v>221</v>
      </c>
      <c r="C64" s="38">
        <v>0</v>
      </c>
      <c r="D64" s="38">
        <v>21.50057</v>
      </c>
      <c r="E64" s="836"/>
      <c r="G64" s="837"/>
      <c r="H64" s="836"/>
    </row>
    <row r="65" spans="1:8">
      <c r="A65" s="36">
        <v>30100700001</v>
      </c>
      <c r="B65" s="37" t="s">
        <v>222</v>
      </c>
      <c r="C65" s="38">
        <v>0</v>
      </c>
      <c r="D65" s="38">
        <v>838.63871999999992</v>
      </c>
      <c r="E65" s="836"/>
      <c r="G65" s="837"/>
      <c r="H65" s="836"/>
    </row>
    <row r="66" spans="1:8">
      <c r="A66" s="36">
        <v>30100800001</v>
      </c>
      <c r="B66" s="37" t="s">
        <v>375</v>
      </c>
      <c r="C66" s="38">
        <v>4.2999999999999997E-2</v>
      </c>
      <c r="D66" s="38">
        <v>0</v>
      </c>
      <c r="E66" s="836"/>
      <c r="G66" s="837"/>
      <c r="H66" s="836"/>
    </row>
    <row r="67" spans="1:8">
      <c r="A67" s="36">
        <v>30100900001</v>
      </c>
      <c r="B67" s="37" t="s">
        <v>223</v>
      </c>
      <c r="C67" s="38">
        <v>0</v>
      </c>
      <c r="D67" s="38">
        <v>3624.6189699999995</v>
      </c>
      <c r="E67" s="836"/>
      <c r="G67" s="837"/>
      <c r="H67" s="836"/>
    </row>
    <row r="68" spans="1:8">
      <c r="A68" s="36">
        <v>30200100001</v>
      </c>
      <c r="B68" s="37" t="s">
        <v>224</v>
      </c>
      <c r="C68" s="38">
        <v>0</v>
      </c>
      <c r="D68" s="38">
        <v>0.01</v>
      </c>
      <c r="E68" s="836"/>
      <c r="G68" s="837"/>
      <c r="H68" s="836"/>
    </row>
    <row r="69" spans="1:8">
      <c r="A69" s="36">
        <v>30300200001</v>
      </c>
      <c r="B69" s="37" t="s">
        <v>376</v>
      </c>
      <c r="C69" s="38">
        <v>0</v>
      </c>
      <c r="D69" s="38">
        <v>262.27499999999998</v>
      </c>
      <c r="E69" s="836"/>
      <c r="G69" s="837"/>
      <c r="H69" s="836"/>
    </row>
    <row r="70" spans="1:8">
      <c r="A70" s="36">
        <v>30400100001</v>
      </c>
      <c r="B70" s="37" t="s">
        <v>225</v>
      </c>
      <c r="C70" s="38">
        <v>0</v>
      </c>
      <c r="D70" s="38">
        <v>2175.0050000000001</v>
      </c>
      <c r="E70" s="836"/>
      <c r="G70" s="837"/>
      <c r="H70" s="836"/>
    </row>
    <row r="71" spans="1:8">
      <c r="A71" s="36">
        <v>30900100001</v>
      </c>
      <c r="B71" s="37" t="s">
        <v>226</v>
      </c>
      <c r="C71" s="38">
        <v>0</v>
      </c>
      <c r="D71" s="38">
        <v>6587.0569000000005</v>
      </c>
      <c r="E71" s="836"/>
      <c r="G71" s="837"/>
      <c r="H71" s="836"/>
    </row>
    <row r="72" spans="1:8">
      <c r="A72" s="36">
        <v>31000500001</v>
      </c>
      <c r="B72" s="37" t="s">
        <v>227</v>
      </c>
      <c r="C72" s="38">
        <v>0</v>
      </c>
      <c r="D72" s="38">
        <v>18.002929999999999</v>
      </c>
      <c r="E72" s="836"/>
      <c r="G72" s="837"/>
      <c r="H72" s="836"/>
    </row>
    <row r="73" spans="1:8">
      <c r="A73" s="36">
        <v>31000600001</v>
      </c>
      <c r="B73" s="37" t="s">
        <v>228</v>
      </c>
      <c r="C73" s="38">
        <v>0</v>
      </c>
      <c r="D73" s="38">
        <v>1.9000000000000001E-4</v>
      </c>
      <c r="E73" s="836"/>
      <c r="G73" s="837"/>
      <c r="H73" s="836"/>
    </row>
    <row r="74" spans="1:8">
      <c r="A74" s="36">
        <v>31000700001</v>
      </c>
      <c r="B74" s="37" t="s">
        <v>229</v>
      </c>
      <c r="C74" s="38">
        <v>0</v>
      </c>
      <c r="D74" s="38">
        <v>278.90161999999998</v>
      </c>
      <c r="E74" s="836"/>
      <c r="G74" s="837"/>
      <c r="H74" s="836"/>
    </row>
    <row r="75" spans="1:8">
      <c r="A75" s="36">
        <v>31000800001</v>
      </c>
      <c r="B75" s="37" t="s">
        <v>230</v>
      </c>
      <c r="C75" s="38">
        <v>0</v>
      </c>
      <c r="D75" s="38">
        <v>0.49</v>
      </c>
      <c r="E75" s="836"/>
      <c r="G75" s="837"/>
      <c r="H75" s="836"/>
    </row>
    <row r="76" spans="1:8">
      <c r="A76" s="36">
        <v>31001200001</v>
      </c>
      <c r="B76" s="37" t="s">
        <v>180</v>
      </c>
      <c r="C76" s="38">
        <v>0</v>
      </c>
      <c r="D76" s="38">
        <v>421.67</v>
      </c>
      <c r="E76" s="836"/>
      <c r="G76" s="837"/>
      <c r="H76" s="836"/>
    </row>
    <row r="77" spans="1:8">
      <c r="A77" s="36">
        <v>31001600001</v>
      </c>
      <c r="B77" s="37" t="s">
        <v>425</v>
      </c>
      <c r="C77" s="38">
        <v>0</v>
      </c>
      <c r="D77" s="38">
        <v>79.317999999999998</v>
      </c>
      <c r="E77" s="836"/>
      <c r="G77" s="837"/>
      <c r="H77" s="836"/>
    </row>
    <row r="78" spans="1:8">
      <c r="A78" s="36">
        <v>31001700001</v>
      </c>
      <c r="B78" s="37" t="s">
        <v>231</v>
      </c>
      <c r="C78" s="38">
        <v>0</v>
      </c>
      <c r="D78" s="38">
        <v>35.070999999999998</v>
      </c>
      <c r="E78" s="836"/>
      <c r="G78" s="837"/>
      <c r="H78" s="836"/>
    </row>
    <row r="79" spans="1:8">
      <c r="A79" s="36">
        <v>31001900001</v>
      </c>
      <c r="B79" s="37" t="s">
        <v>535</v>
      </c>
      <c r="C79" s="38">
        <v>0</v>
      </c>
      <c r="D79" s="38">
        <v>3331.7860000000001</v>
      </c>
      <c r="E79" s="836"/>
      <c r="G79" s="837"/>
      <c r="H79" s="836"/>
    </row>
    <row r="80" spans="1:8">
      <c r="A80" s="36">
        <v>31002000001</v>
      </c>
      <c r="B80" s="37" t="s">
        <v>377</v>
      </c>
      <c r="C80" s="38">
        <v>0</v>
      </c>
      <c r="D80" s="38">
        <v>506.67599999999999</v>
      </c>
      <c r="E80" s="836"/>
      <c r="G80" s="837"/>
      <c r="H80" s="836"/>
    </row>
    <row r="81" spans="1:8">
      <c r="A81" s="36">
        <v>31200100001</v>
      </c>
      <c r="B81" s="37" t="s">
        <v>232</v>
      </c>
      <c r="C81" s="38">
        <v>0</v>
      </c>
      <c r="D81" s="38">
        <v>9.1E-4</v>
      </c>
      <c r="E81" s="40">
        <f>D65+D67+D69+D72+D73+D74+D75+D76+D77+D78+D79+D80+D81</f>
        <v>9397.4493399999974</v>
      </c>
      <c r="F81" s="42" t="s">
        <v>296</v>
      </c>
      <c r="G81" s="837"/>
      <c r="H81" s="836"/>
    </row>
    <row r="82" spans="1:8">
      <c r="A82" s="36">
        <v>314001001</v>
      </c>
      <c r="B82" s="37" t="s">
        <v>233</v>
      </c>
      <c r="C82" s="38">
        <v>0</v>
      </c>
      <c r="D82" s="38">
        <v>1E-4</v>
      </c>
      <c r="G82" s="837"/>
      <c r="H82" s="836"/>
    </row>
    <row r="83" spans="1:8">
      <c r="A83" s="36">
        <v>31900500001</v>
      </c>
      <c r="B83" s="37" t="s">
        <v>378</v>
      </c>
      <c r="C83" s="835">
        <v>0</v>
      </c>
      <c r="D83" s="38">
        <v>60</v>
      </c>
      <c r="E83" s="836"/>
      <c r="G83" s="837"/>
      <c r="H83" s="836"/>
    </row>
    <row r="84" spans="1:8">
      <c r="A84" s="36"/>
      <c r="C84" s="835"/>
      <c r="E84" s="836"/>
      <c r="G84" s="837"/>
      <c r="H84" s="836"/>
    </row>
    <row r="85" spans="1:8">
      <c r="A85" s="36">
        <v>40100200001</v>
      </c>
      <c r="B85" s="37" t="s">
        <v>234</v>
      </c>
      <c r="C85" s="835">
        <v>70.400000000000006</v>
      </c>
      <c r="D85" s="38">
        <v>0</v>
      </c>
      <c r="E85" s="836"/>
      <c r="G85" s="837"/>
      <c r="H85" s="836"/>
    </row>
    <row r="86" spans="1:8">
      <c r="A86" s="36">
        <v>40101400001</v>
      </c>
      <c r="B86" s="37" t="s">
        <v>426</v>
      </c>
      <c r="C86" s="835">
        <v>1E-3</v>
      </c>
      <c r="D86" s="38">
        <v>0</v>
      </c>
      <c r="E86" s="836"/>
      <c r="G86" s="837"/>
      <c r="H86" s="836"/>
    </row>
    <row r="87" spans="1:8">
      <c r="A87" s="36"/>
      <c r="C87" s="38">
        <v>0</v>
      </c>
      <c r="D87" s="38">
        <v>0</v>
      </c>
      <c r="G87" s="837"/>
      <c r="H87" s="836"/>
    </row>
    <row r="88" spans="1:8">
      <c r="A88" s="36">
        <v>40200100038</v>
      </c>
      <c r="B88" s="37" t="s">
        <v>235</v>
      </c>
      <c r="C88" s="38">
        <v>0</v>
      </c>
      <c r="D88" s="38">
        <v>24927.611100000002</v>
      </c>
      <c r="E88" s="836"/>
      <c r="G88" s="837"/>
      <c r="H88" s="836"/>
    </row>
    <row r="89" spans="1:8">
      <c r="A89" s="36">
        <v>40200100041</v>
      </c>
      <c r="B89" s="37" t="s">
        <v>236</v>
      </c>
      <c r="C89" s="38">
        <v>0</v>
      </c>
      <c r="D89" s="38">
        <v>17094.632000000001</v>
      </c>
      <c r="E89" s="836"/>
      <c r="G89" s="837"/>
      <c r="H89" s="836"/>
    </row>
    <row r="90" spans="1:8">
      <c r="A90" s="36">
        <v>40200100043</v>
      </c>
      <c r="B90" s="37" t="s">
        <v>237</v>
      </c>
      <c r="C90" s="38">
        <v>0</v>
      </c>
      <c r="D90" s="38">
        <v>26.381</v>
      </c>
      <c r="E90" s="836"/>
      <c r="G90" s="837"/>
      <c r="H90" s="836"/>
    </row>
    <row r="91" spans="1:8">
      <c r="A91" s="36">
        <v>40200100110</v>
      </c>
      <c r="B91" s="37" t="s">
        <v>390</v>
      </c>
      <c r="C91" s="38">
        <v>0</v>
      </c>
      <c r="D91" s="38">
        <v>216132.739</v>
      </c>
      <c r="E91" s="836"/>
      <c r="G91" s="837"/>
      <c r="H91" s="836"/>
    </row>
    <row r="92" spans="1:8">
      <c r="A92" s="36">
        <v>40200100120</v>
      </c>
      <c r="B92" s="37" t="s">
        <v>238</v>
      </c>
      <c r="C92" s="38">
        <v>0</v>
      </c>
      <c r="D92" s="38">
        <v>74099.44279999999</v>
      </c>
      <c r="E92" s="836"/>
      <c r="G92" s="837"/>
      <c r="H92" s="836"/>
    </row>
    <row r="93" spans="1:8">
      <c r="A93" s="36">
        <v>40200100121</v>
      </c>
      <c r="B93" s="37" t="s">
        <v>239</v>
      </c>
      <c r="C93" s="38">
        <v>0</v>
      </c>
      <c r="D93" s="38">
        <v>291936.67560000002</v>
      </c>
      <c r="E93" s="836"/>
      <c r="G93" s="837"/>
      <c r="H93" s="836"/>
    </row>
    <row r="94" spans="1:8">
      <c r="A94" s="36">
        <v>40200100124</v>
      </c>
      <c r="B94" s="37" t="s">
        <v>427</v>
      </c>
      <c r="C94" s="38">
        <v>0</v>
      </c>
      <c r="D94" s="38">
        <v>26.885999999999999</v>
      </c>
      <c r="E94" s="40">
        <f>SUM(D88:D95)</f>
        <v>625626.2905</v>
      </c>
      <c r="F94" s="42" t="s">
        <v>298</v>
      </c>
      <c r="G94" s="837"/>
      <c r="H94" s="836"/>
    </row>
    <row r="95" spans="1:8">
      <c r="A95" s="36">
        <v>40200100134</v>
      </c>
      <c r="B95" s="37" t="s">
        <v>536</v>
      </c>
      <c r="C95" s="38">
        <v>0</v>
      </c>
      <c r="D95" s="38">
        <v>1381.923</v>
      </c>
      <c r="E95" s="836"/>
      <c r="G95" s="837"/>
      <c r="H95" s="836"/>
    </row>
    <row r="96" spans="1:8">
      <c r="A96" s="1205" t="s">
        <v>474</v>
      </c>
      <c r="B96" s="1205"/>
      <c r="E96" s="836"/>
      <c r="G96" s="837"/>
      <c r="H96" s="836"/>
    </row>
    <row r="97" spans="1:9">
      <c r="A97" s="36">
        <v>40200200001</v>
      </c>
      <c r="B97" s="37" t="s">
        <v>240</v>
      </c>
      <c r="C97" s="38">
        <v>0</v>
      </c>
      <c r="D97" s="38">
        <v>106574.11500000001</v>
      </c>
      <c r="E97" s="836"/>
      <c r="G97" s="837"/>
      <c r="H97" s="836"/>
    </row>
    <row r="98" spans="1:9">
      <c r="A98" s="36">
        <v>40200300001</v>
      </c>
      <c r="B98" s="37" t="s">
        <v>241</v>
      </c>
      <c r="C98" s="38">
        <v>0</v>
      </c>
      <c r="D98" s="848">
        <v>26591.628190000003</v>
      </c>
      <c r="E98" s="40" t="s">
        <v>472</v>
      </c>
      <c r="F98" s="42"/>
      <c r="G98" s="837"/>
      <c r="H98" s="836"/>
    </row>
    <row r="99" spans="1:9">
      <c r="A99" s="36">
        <v>40201400001</v>
      </c>
      <c r="B99" s="37" t="s">
        <v>242</v>
      </c>
      <c r="C99" s="38">
        <v>35.200000000000003</v>
      </c>
      <c r="D99" s="38">
        <v>0</v>
      </c>
      <c r="E99" s="836"/>
      <c r="G99" s="837"/>
      <c r="H99" s="836"/>
    </row>
    <row r="100" spans="1:9">
      <c r="A100" s="36">
        <v>40201900001</v>
      </c>
      <c r="B100" s="37" t="s">
        <v>379</v>
      </c>
      <c r="C100" s="38">
        <v>0</v>
      </c>
      <c r="D100" s="38">
        <v>66851.676000000007</v>
      </c>
      <c r="E100" s="40">
        <f>D97+D100+D101-C99</f>
        <v>251848.71799999999</v>
      </c>
      <c r="F100" s="42" t="s">
        <v>473</v>
      </c>
      <c r="G100" s="840"/>
      <c r="H100" s="40"/>
      <c r="I100" s="42"/>
    </row>
    <row r="101" spans="1:9">
      <c r="A101" s="36">
        <v>40204300001</v>
      </c>
      <c r="B101" s="37" t="s">
        <v>380</v>
      </c>
      <c r="C101" s="38">
        <v>0</v>
      </c>
      <c r="D101" s="38">
        <v>78458.126999999993</v>
      </c>
      <c r="E101" s="836"/>
      <c r="G101" s="837"/>
      <c r="H101" s="836"/>
    </row>
    <row r="102" spans="1:9">
      <c r="A102" s="36"/>
      <c r="C102" s="38">
        <v>0</v>
      </c>
      <c r="D102" s="38">
        <v>0</v>
      </c>
      <c r="E102" s="836"/>
      <c r="G102" s="837"/>
      <c r="H102" s="836"/>
    </row>
    <row r="103" spans="1:9">
      <c r="A103" s="36"/>
      <c r="C103" s="38">
        <v>0</v>
      </c>
      <c r="D103" s="38">
        <v>0</v>
      </c>
      <c r="E103" s="836"/>
      <c r="G103" s="837"/>
      <c r="H103" s="836"/>
    </row>
    <row r="104" spans="1:9">
      <c r="A104" s="36">
        <v>40400200001</v>
      </c>
      <c r="B104" s="37" t="s">
        <v>243</v>
      </c>
      <c r="C104" s="38">
        <v>0</v>
      </c>
      <c r="D104" s="38">
        <v>28028.278739999998</v>
      </c>
      <c r="E104" s="836"/>
      <c r="G104" s="837"/>
      <c r="H104" s="836"/>
    </row>
    <row r="105" spans="1:9">
      <c r="C105" s="38">
        <v>0</v>
      </c>
      <c r="D105" s="38">
        <v>0</v>
      </c>
      <c r="G105" s="837"/>
      <c r="H105" s="836"/>
    </row>
    <row r="106" spans="1:9">
      <c r="A106" s="1205" t="s">
        <v>475</v>
      </c>
      <c r="B106" s="1205"/>
      <c r="C106" s="38">
        <v>0</v>
      </c>
      <c r="D106" s="38">
        <v>0</v>
      </c>
      <c r="G106" s="837"/>
      <c r="H106" s="836"/>
    </row>
    <row r="107" spans="1:9">
      <c r="A107" s="36">
        <v>50100100001</v>
      </c>
      <c r="B107" s="37" t="s">
        <v>244</v>
      </c>
      <c r="C107" s="38">
        <v>13335.49964</v>
      </c>
      <c r="D107" s="38">
        <v>0</v>
      </c>
      <c r="E107" s="836"/>
      <c r="G107" s="837"/>
      <c r="H107" s="836"/>
    </row>
    <row r="108" spans="1:9">
      <c r="A108" s="36">
        <v>50100100002</v>
      </c>
      <c r="B108" s="37" t="s">
        <v>245</v>
      </c>
      <c r="C108" s="38">
        <v>1733.61364</v>
      </c>
      <c r="D108" s="38">
        <v>0</v>
      </c>
      <c r="E108" s="836"/>
      <c r="G108" s="837"/>
      <c r="H108" s="836"/>
    </row>
    <row r="109" spans="1:9">
      <c r="A109" s="36"/>
      <c r="C109" s="38">
        <v>0</v>
      </c>
      <c r="D109" s="38">
        <v>0</v>
      </c>
      <c r="E109" s="836"/>
      <c r="G109" s="837"/>
      <c r="H109" s="836"/>
    </row>
    <row r="110" spans="1:9">
      <c r="A110" s="847">
        <v>50100100003</v>
      </c>
      <c r="B110" s="37" t="s">
        <v>246</v>
      </c>
      <c r="C110" s="38">
        <v>0</v>
      </c>
      <c r="D110" s="38">
        <v>1E-4</v>
      </c>
      <c r="E110" s="836"/>
      <c r="G110" s="837"/>
      <c r="H110" s="836"/>
    </row>
    <row r="111" spans="1:9">
      <c r="A111" s="36"/>
      <c r="C111" s="38">
        <v>0</v>
      </c>
      <c r="D111" s="38">
        <v>0</v>
      </c>
      <c r="E111" s="836"/>
      <c r="G111" s="837"/>
      <c r="H111" s="836"/>
    </row>
    <row r="112" spans="1:9">
      <c r="A112" s="36">
        <v>50100200001</v>
      </c>
      <c r="B112" t="s">
        <v>247</v>
      </c>
      <c r="C112" s="28">
        <v>6115.2669999999998</v>
      </c>
      <c r="D112" s="38">
        <v>0</v>
      </c>
      <c r="E112" s="836"/>
      <c r="G112" s="837"/>
      <c r="H112" s="836"/>
    </row>
    <row r="113" spans="1:8">
      <c r="A113" s="36"/>
      <c r="C113" s="38">
        <v>0</v>
      </c>
      <c r="D113" s="38">
        <v>0</v>
      </c>
      <c r="E113" s="836"/>
      <c r="G113" s="837"/>
      <c r="H113" s="836"/>
    </row>
    <row r="114" spans="1:8">
      <c r="A114" s="36">
        <v>50100200002</v>
      </c>
      <c r="B114" t="s">
        <v>248</v>
      </c>
      <c r="C114" s="28">
        <v>794.98299999999995</v>
      </c>
      <c r="D114" s="38">
        <v>0</v>
      </c>
      <c r="E114" s="836"/>
      <c r="G114" s="837"/>
      <c r="H114" s="836"/>
    </row>
    <row r="115" spans="1:8">
      <c r="A115" s="36"/>
      <c r="C115" s="38">
        <v>0</v>
      </c>
      <c r="D115" s="38">
        <v>0</v>
      </c>
      <c r="E115" s="836"/>
      <c r="G115" s="837"/>
      <c r="H115" s="836"/>
    </row>
    <row r="116" spans="1:8">
      <c r="A116" s="36">
        <v>50100300001</v>
      </c>
      <c r="B116" t="s">
        <v>249</v>
      </c>
      <c r="C116" s="28">
        <v>2085.6320000000001</v>
      </c>
      <c r="D116" s="38">
        <v>0</v>
      </c>
      <c r="E116" s="836"/>
      <c r="G116" s="837"/>
      <c r="H116" s="836"/>
    </row>
    <row r="117" spans="1:8">
      <c r="A117" s="36"/>
      <c r="C117" s="38">
        <v>0</v>
      </c>
      <c r="D117" s="38">
        <v>0</v>
      </c>
      <c r="E117" s="836"/>
      <c r="G117" s="837"/>
      <c r="H117" s="836"/>
    </row>
    <row r="118" spans="1:8">
      <c r="A118" s="36">
        <v>50100500001</v>
      </c>
      <c r="B118" t="s">
        <v>250</v>
      </c>
      <c r="C118" s="28">
        <v>142.16812999999999</v>
      </c>
      <c r="D118" s="38">
        <v>0</v>
      </c>
      <c r="E118" s="836"/>
      <c r="G118" s="837"/>
      <c r="H118" s="836"/>
    </row>
    <row r="119" spans="1:8">
      <c r="A119" s="36">
        <v>50100500002</v>
      </c>
      <c r="B119" t="s">
        <v>251</v>
      </c>
      <c r="C119" s="28">
        <v>1.7999999999999998E-4</v>
      </c>
      <c r="D119" s="38">
        <v>0</v>
      </c>
      <c r="E119" s="836"/>
      <c r="G119" s="837"/>
      <c r="H119" s="836"/>
    </row>
    <row r="120" spans="1:8">
      <c r="A120" s="36"/>
      <c r="C120" s="38">
        <v>0</v>
      </c>
      <c r="D120" s="38">
        <v>0</v>
      </c>
      <c r="E120" s="836"/>
      <c r="G120" s="837"/>
      <c r="H120" s="836"/>
    </row>
    <row r="121" spans="1:8">
      <c r="A121" s="36">
        <v>501006001</v>
      </c>
      <c r="B121" t="s">
        <v>252</v>
      </c>
      <c r="C121" s="28">
        <v>3554.19904</v>
      </c>
      <c r="D121" s="38">
        <v>0</v>
      </c>
      <c r="E121" s="836"/>
      <c r="G121" s="837"/>
      <c r="H121" s="836"/>
    </row>
    <row r="122" spans="1:8">
      <c r="A122" s="36"/>
      <c r="C122" s="38">
        <v>0</v>
      </c>
      <c r="D122" s="38">
        <v>0</v>
      </c>
      <c r="E122" s="836"/>
      <c r="G122" s="837"/>
      <c r="H122" s="836"/>
    </row>
    <row r="123" spans="1:8">
      <c r="A123" s="36">
        <v>50200100002</v>
      </c>
      <c r="B123" t="s">
        <v>253</v>
      </c>
      <c r="C123" s="28">
        <v>9.9087499999999995</v>
      </c>
      <c r="D123" s="38">
        <v>0</v>
      </c>
      <c r="E123" s="836"/>
      <c r="G123" s="837"/>
      <c r="H123" s="836"/>
    </row>
    <row r="124" spans="1:8">
      <c r="A124" s="36"/>
      <c r="C124" s="38">
        <v>0</v>
      </c>
      <c r="D124" s="38">
        <v>0</v>
      </c>
      <c r="E124" s="836"/>
      <c r="G124" s="837"/>
      <c r="H124" s="836"/>
    </row>
    <row r="125" spans="1:8">
      <c r="A125" s="36">
        <v>50200300001</v>
      </c>
      <c r="B125" t="s">
        <v>254</v>
      </c>
      <c r="C125" s="28">
        <v>760.88300000000004</v>
      </c>
      <c r="D125" s="38">
        <v>0</v>
      </c>
      <c r="E125" s="836"/>
      <c r="G125" s="837"/>
      <c r="H125" s="836"/>
    </row>
    <row r="126" spans="1:8">
      <c r="A126" s="36">
        <v>50200300003</v>
      </c>
      <c r="B126" t="s">
        <v>255</v>
      </c>
      <c r="C126" s="28">
        <v>259.31799999999998</v>
      </c>
      <c r="D126" s="38">
        <v>0</v>
      </c>
      <c r="E126" s="836"/>
      <c r="G126" s="837"/>
      <c r="H126" s="836"/>
    </row>
    <row r="127" spans="1:8">
      <c r="A127" s="36">
        <v>51000100001</v>
      </c>
      <c r="B127" s="37" t="s">
        <v>261</v>
      </c>
      <c r="C127" s="38">
        <v>0.92100000000000004</v>
      </c>
      <c r="D127" s="38">
        <v>0</v>
      </c>
      <c r="E127" s="836"/>
      <c r="G127" s="837"/>
      <c r="H127" s="836"/>
    </row>
    <row r="128" spans="1:8">
      <c r="A128" s="36">
        <v>51000100010</v>
      </c>
      <c r="B128" s="37" t="s">
        <v>428</v>
      </c>
      <c r="C128" s="38">
        <v>17.349</v>
      </c>
      <c r="D128" s="38">
        <v>0</v>
      </c>
      <c r="E128" s="836"/>
      <c r="G128" s="837"/>
      <c r="H128" s="836"/>
    </row>
    <row r="129" spans="1:8">
      <c r="A129" s="36">
        <v>51000100011</v>
      </c>
      <c r="B129" s="37" t="s">
        <v>262</v>
      </c>
      <c r="C129" s="38">
        <v>0.36099999999999999</v>
      </c>
      <c r="D129" s="38">
        <v>0</v>
      </c>
      <c r="E129" s="836"/>
      <c r="G129" s="837"/>
      <c r="H129" s="836"/>
    </row>
    <row r="130" spans="1:8">
      <c r="A130" s="36">
        <v>51000100012</v>
      </c>
      <c r="B130" s="37" t="s">
        <v>429</v>
      </c>
      <c r="C130" s="38">
        <v>3.6999999999999998E-2</v>
      </c>
      <c r="D130" s="38">
        <v>0</v>
      </c>
      <c r="E130" s="836"/>
      <c r="G130" s="837"/>
      <c r="H130" s="836"/>
    </row>
    <row r="131" spans="1:8">
      <c r="A131" s="36">
        <v>51000100016</v>
      </c>
      <c r="B131" s="37" t="s">
        <v>263</v>
      </c>
      <c r="C131" s="38">
        <v>5.3140000000000001</v>
      </c>
      <c r="D131" s="38">
        <v>0</v>
      </c>
      <c r="E131" s="836"/>
      <c r="G131" s="837"/>
      <c r="H131" s="836"/>
    </row>
    <row r="132" spans="1:8">
      <c r="A132" s="36">
        <v>51000100018</v>
      </c>
      <c r="B132" s="37" t="s">
        <v>264</v>
      </c>
      <c r="C132" s="38">
        <v>24.890999999999998</v>
      </c>
      <c r="D132" s="38">
        <v>0</v>
      </c>
      <c r="E132" s="40">
        <f>SUM(C125:C132)</f>
        <v>1069.0740000000003</v>
      </c>
      <c r="F132" s="42" t="s">
        <v>476</v>
      </c>
      <c r="G132" s="840"/>
      <c r="H132" s="836"/>
    </row>
    <row r="133" spans="1:8">
      <c r="A133" s="36"/>
      <c r="C133" s="38">
        <v>0</v>
      </c>
      <c r="D133" s="38">
        <v>0</v>
      </c>
      <c r="E133" s="836"/>
      <c r="G133" s="837"/>
      <c r="H133" s="836"/>
    </row>
    <row r="134" spans="1:8">
      <c r="A134" s="36">
        <v>50500100001</v>
      </c>
      <c r="B134" t="s">
        <v>256</v>
      </c>
      <c r="C134" s="28">
        <v>0</v>
      </c>
      <c r="D134" s="28">
        <v>1.0000000000000001E-5</v>
      </c>
      <c r="E134" s="836"/>
      <c r="G134" s="837"/>
      <c r="H134" s="836"/>
    </row>
    <row r="135" spans="1:8">
      <c r="A135" s="36">
        <v>50500100002</v>
      </c>
      <c r="B135" t="s">
        <v>430</v>
      </c>
      <c r="C135" s="28">
        <v>0</v>
      </c>
      <c r="D135" s="28">
        <v>10908.505519999999</v>
      </c>
      <c r="E135" s="836"/>
      <c r="G135" s="837"/>
      <c r="H135" s="836"/>
    </row>
    <row r="136" spans="1:8">
      <c r="A136" s="36"/>
      <c r="C136" s="38">
        <v>0</v>
      </c>
      <c r="D136" s="38">
        <v>0</v>
      </c>
      <c r="E136" s="836"/>
      <c r="G136" s="837"/>
      <c r="H136" s="836"/>
    </row>
    <row r="137" spans="1:8">
      <c r="A137" s="36">
        <v>50600100001</v>
      </c>
      <c r="B137" t="s">
        <v>257</v>
      </c>
      <c r="C137" s="28">
        <v>474.38400000000001</v>
      </c>
      <c r="D137" s="38">
        <v>0</v>
      </c>
      <c r="E137" s="839"/>
      <c r="G137" s="837"/>
      <c r="H137" s="836"/>
    </row>
    <row r="138" spans="1:8">
      <c r="A138" s="36"/>
      <c r="C138" s="38">
        <v>0</v>
      </c>
      <c r="D138" s="38">
        <v>0</v>
      </c>
      <c r="E138" s="836"/>
      <c r="G138" s="837"/>
      <c r="H138" s="836"/>
    </row>
    <row r="139" spans="1:8">
      <c r="A139" s="36"/>
      <c r="B139"/>
      <c r="C139" s="28"/>
      <c r="D139" s="38">
        <v>0</v>
      </c>
      <c r="E139" s="836"/>
      <c r="G139" s="837"/>
      <c r="H139" s="836"/>
    </row>
    <row r="140" spans="1:8">
      <c r="A140" s="36">
        <v>50600300006</v>
      </c>
      <c r="B140" t="s">
        <v>381</v>
      </c>
      <c r="C140" s="28">
        <v>235.24027000000001</v>
      </c>
      <c r="D140" s="38">
        <v>0</v>
      </c>
      <c r="E140" s="836"/>
      <c r="G140" s="837"/>
      <c r="H140" s="836"/>
    </row>
    <row r="141" spans="1:8">
      <c r="A141" s="36">
        <v>50600300009</v>
      </c>
      <c r="B141" t="s">
        <v>259</v>
      </c>
      <c r="C141" s="28">
        <v>13.75</v>
      </c>
      <c r="D141" s="38">
        <v>0</v>
      </c>
      <c r="E141" s="836"/>
      <c r="G141" s="837"/>
      <c r="H141" s="836"/>
    </row>
    <row r="142" spans="1:8">
      <c r="A142" s="36"/>
      <c r="B142"/>
      <c r="C142" s="28"/>
      <c r="E142" s="836"/>
      <c r="G142" s="837"/>
      <c r="H142" s="836"/>
    </row>
    <row r="143" spans="1:8">
      <c r="A143" s="36">
        <v>50600200001</v>
      </c>
      <c r="B143" t="s">
        <v>258</v>
      </c>
      <c r="C143" s="28">
        <v>509.54199999999997</v>
      </c>
      <c r="D143" s="38">
        <v>0</v>
      </c>
      <c r="E143" s="836"/>
      <c r="G143" s="837"/>
      <c r="H143" s="836"/>
    </row>
    <row r="144" spans="1:8">
      <c r="A144" s="36"/>
      <c r="C144" s="38">
        <v>0</v>
      </c>
      <c r="D144" s="38">
        <v>0</v>
      </c>
      <c r="E144" s="836"/>
      <c r="G144" s="837"/>
      <c r="H144" s="836"/>
    </row>
    <row r="145" spans="1:8">
      <c r="A145" s="36">
        <v>50600500001</v>
      </c>
      <c r="B145" t="s">
        <v>382</v>
      </c>
      <c r="C145" s="28">
        <v>518</v>
      </c>
      <c r="D145" s="38">
        <v>0</v>
      </c>
      <c r="E145" s="836"/>
      <c r="G145" s="837"/>
      <c r="H145" s="836"/>
    </row>
    <row r="146" spans="1:8">
      <c r="A146" s="36">
        <v>50700100001</v>
      </c>
      <c r="B146" t="s">
        <v>260</v>
      </c>
      <c r="C146" s="28">
        <v>40.85</v>
      </c>
      <c r="D146" s="38">
        <v>0</v>
      </c>
      <c r="E146" s="836"/>
      <c r="G146" s="837"/>
      <c r="H146" s="836"/>
    </row>
    <row r="147" spans="1:8">
      <c r="A147" s="36"/>
      <c r="E147" s="836"/>
      <c r="G147" s="837"/>
      <c r="H147" s="836"/>
    </row>
    <row r="148" spans="1:8">
      <c r="D148" s="38">
        <v>0</v>
      </c>
      <c r="H148" s="836"/>
    </row>
    <row r="149" spans="1:8">
      <c r="D149" s="38">
        <v>0</v>
      </c>
      <c r="H149" s="836"/>
    </row>
    <row r="150" spans="1:8">
      <c r="D150" s="38">
        <v>0</v>
      </c>
      <c r="H150" s="836"/>
    </row>
    <row r="151" spans="1:8">
      <c r="D151" s="38">
        <v>0</v>
      </c>
      <c r="H151" s="836"/>
    </row>
    <row r="152" spans="1:8">
      <c r="D152" s="38">
        <v>0</v>
      </c>
      <c r="H152" s="836"/>
    </row>
    <row r="153" spans="1:8">
      <c r="D153" s="38">
        <v>0</v>
      </c>
      <c r="H153" s="836"/>
    </row>
    <row r="154" spans="1:8">
      <c r="D154" s="38">
        <v>0</v>
      </c>
      <c r="H154" s="836"/>
    </row>
    <row r="155" spans="1:8">
      <c r="D155" s="38">
        <v>0</v>
      </c>
      <c r="H155" s="836"/>
    </row>
    <row r="156" spans="1:8">
      <c r="D156" s="38">
        <v>0</v>
      </c>
      <c r="H156" s="836"/>
    </row>
    <row r="157" spans="1:8">
      <c r="D157" s="38">
        <v>0</v>
      </c>
      <c r="H157" s="836"/>
    </row>
    <row r="158" spans="1:8">
      <c r="D158" s="38">
        <v>0</v>
      </c>
      <c r="H158" s="836"/>
    </row>
    <row r="159" spans="1:8">
      <c r="D159" s="38">
        <v>0</v>
      </c>
      <c r="H159" s="836"/>
    </row>
    <row r="160" spans="1:8">
      <c r="D160" s="38">
        <v>0</v>
      </c>
      <c r="H160" s="836"/>
    </row>
    <row r="161" spans="4:8">
      <c r="D161" s="38">
        <v>0</v>
      </c>
      <c r="H161" s="836"/>
    </row>
    <row r="162" spans="4:8">
      <c r="D162" s="38">
        <v>0</v>
      </c>
      <c r="H162" s="836"/>
    </row>
    <row r="163" spans="4:8">
      <c r="D163" s="38">
        <v>0</v>
      </c>
      <c r="H163" s="836"/>
    </row>
    <row r="164" spans="4:8">
      <c r="D164" s="38">
        <v>0</v>
      </c>
      <c r="H164" s="836"/>
    </row>
    <row r="165" spans="4:8">
      <c r="D165" s="38">
        <v>0</v>
      </c>
      <c r="H165" s="836"/>
    </row>
    <row r="166" spans="4:8">
      <c r="D166" s="38">
        <v>0</v>
      </c>
      <c r="H166" s="836"/>
    </row>
    <row r="167" spans="4:8">
      <c r="D167" s="38">
        <v>0</v>
      </c>
      <c r="H167" s="836"/>
    </row>
    <row r="168" spans="4:8">
      <c r="D168" s="38">
        <v>0</v>
      </c>
      <c r="H168" s="836"/>
    </row>
    <row r="169" spans="4:8">
      <c r="D169" s="38">
        <v>0</v>
      </c>
      <c r="H169" s="836"/>
    </row>
    <row r="170" spans="4:8">
      <c r="D170" s="38">
        <v>0</v>
      </c>
      <c r="H170" s="836"/>
    </row>
    <row r="171" spans="4:8">
      <c r="D171" s="38">
        <v>0</v>
      </c>
      <c r="H171" s="836"/>
    </row>
    <row r="172" spans="4:8">
      <c r="D172" s="38">
        <v>0</v>
      </c>
      <c r="H172" s="836"/>
    </row>
    <row r="173" spans="4:8">
      <c r="D173" s="38">
        <v>0</v>
      </c>
      <c r="H173" s="836"/>
    </row>
    <row r="174" spans="4:8">
      <c r="D174" s="38">
        <v>0</v>
      </c>
      <c r="H174" s="836"/>
    </row>
    <row r="175" spans="4:8">
      <c r="D175" s="38">
        <v>0</v>
      </c>
      <c r="H175" s="836"/>
    </row>
    <row r="176" spans="4:8">
      <c r="D176" s="38">
        <v>0</v>
      </c>
      <c r="H176" s="836"/>
    </row>
    <row r="177" spans="4:8">
      <c r="D177" s="38">
        <v>0</v>
      </c>
      <c r="H177" s="836"/>
    </row>
    <row r="178" spans="4:8">
      <c r="D178" s="38">
        <v>0</v>
      </c>
      <c r="H178" s="836"/>
    </row>
    <row r="179" spans="4:8">
      <c r="D179" s="38">
        <v>0</v>
      </c>
      <c r="H179" s="836"/>
    </row>
    <row r="180" spans="4:8">
      <c r="D180" s="38">
        <v>0</v>
      </c>
      <c r="H180" s="836"/>
    </row>
    <row r="181" spans="4:8">
      <c r="D181" s="38">
        <v>0</v>
      </c>
      <c r="H181" s="836"/>
    </row>
    <row r="182" spans="4:8">
      <c r="D182" s="38">
        <v>0</v>
      </c>
      <c r="H182" s="836"/>
    </row>
    <row r="183" spans="4:8">
      <c r="D183" s="38">
        <v>0</v>
      </c>
      <c r="H183" s="836"/>
    </row>
    <row r="184" spans="4:8">
      <c r="D184" s="38">
        <v>0</v>
      </c>
      <c r="H184" s="836"/>
    </row>
    <row r="185" spans="4:8">
      <c r="D185" s="38">
        <v>0</v>
      </c>
      <c r="H185" s="836"/>
    </row>
    <row r="186" spans="4:8">
      <c r="D186" s="38">
        <v>0</v>
      </c>
      <c r="H186" s="836"/>
    </row>
    <row r="187" spans="4:8">
      <c r="D187" s="38">
        <v>0</v>
      </c>
      <c r="H187" s="836"/>
    </row>
    <row r="188" spans="4:8">
      <c r="D188" s="38">
        <v>0</v>
      </c>
      <c r="H188" s="836"/>
    </row>
    <row r="189" spans="4:8">
      <c r="D189" s="38">
        <v>0</v>
      </c>
      <c r="H189" s="836"/>
    </row>
    <row r="190" spans="4:8">
      <c r="D190" s="38">
        <v>0</v>
      </c>
      <c r="H190" s="836"/>
    </row>
    <row r="191" spans="4:8">
      <c r="D191" s="38">
        <v>0</v>
      </c>
      <c r="H191" s="836"/>
    </row>
    <row r="192" spans="4:8">
      <c r="D192" s="38">
        <v>0</v>
      </c>
      <c r="H192" s="836"/>
    </row>
    <row r="193" spans="4:8">
      <c r="D193" s="38">
        <v>0</v>
      </c>
      <c r="H193" s="836"/>
    </row>
    <row r="194" spans="4:8">
      <c r="D194" s="38">
        <v>0</v>
      </c>
      <c r="H194" s="836"/>
    </row>
    <row r="195" spans="4:8">
      <c r="D195" s="38">
        <v>0</v>
      </c>
      <c r="H195" s="836"/>
    </row>
    <row r="196" spans="4:8">
      <c r="D196" s="38">
        <v>0</v>
      </c>
      <c r="H196" s="836"/>
    </row>
    <row r="197" spans="4:8">
      <c r="D197" s="38">
        <v>0</v>
      </c>
      <c r="H197" s="836"/>
    </row>
    <row r="198" spans="4:8">
      <c r="D198" s="38">
        <v>0</v>
      </c>
      <c r="H198" s="836"/>
    </row>
    <row r="199" spans="4:8">
      <c r="D199" s="38">
        <v>0</v>
      </c>
      <c r="H199" s="836"/>
    </row>
    <row r="200" spans="4:8">
      <c r="D200" s="38">
        <v>0</v>
      </c>
      <c r="H200" s="836"/>
    </row>
    <row r="201" spans="4:8">
      <c r="D201" s="38">
        <v>0</v>
      </c>
      <c r="H201" s="836"/>
    </row>
    <row r="202" spans="4:8">
      <c r="D202" s="38">
        <v>0</v>
      </c>
      <c r="H202" s="836"/>
    </row>
    <row r="203" spans="4:8">
      <c r="D203" s="38">
        <v>0</v>
      </c>
      <c r="H203" s="836"/>
    </row>
    <row r="204" spans="4:8">
      <c r="D204" s="38">
        <v>0</v>
      </c>
      <c r="H204" s="836"/>
    </row>
    <row r="205" spans="4:8">
      <c r="D205" s="38">
        <v>0</v>
      </c>
      <c r="H205" s="836"/>
    </row>
    <row r="206" spans="4:8">
      <c r="D206" s="38">
        <v>0</v>
      </c>
      <c r="H206" s="836"/>
    </row>
    <row r="207" spans="4:8">
      <c r="D207" s="38">
        <v>0</v>
      </c>
      <c r="H207" s="836"/>
    </row>
    <row r="208" spans="4:8">
      <c r="D208" s="38">
        <v>0</v>
      </c>
      <c r="H208" s="836"/>
    </row>
    <row r="209" spans="4:8">
      <c r="D209" s="38">
        <v>0</v>
      </c>
      <c r="H209" s="836"/>
    </row>
    <row r="210" spans="4:8">
      <c r="D210" s="38">
        <v>0</v>
      </c>
      <c r="H210" s="836"/>
    </row>
    <row r="211" spans="4:8">
      <c r="D211" s="38">
        <v>0</v>
      </c>
      <c r="H211" s="836"/>
    </row>
    <row r="212" spans="4:8">
      <c r="D212" s="38">
        <v>0</v>
      </c>
      <c r="H212" s="836"/>
    </row>
    <row r="213" spans="4:8">
      <c r="D213" s="38">
        <v>0</v>
      </c>
      <c r="H213" s="836"/>
    </row>
  </sheetData>
  <mergeCells count="7">
    <mergeCell ref="A96:B96"/>
    <mergeCell ref="A106:B106"/>
    <mergeCell ref="A3:B3"/>
    <mergeCell ref="A15:B15"/>
    <mergeCell ref="A21:B21"/>
    <mergeCell ref="A36:B36"/>
    <mergeCell ref="A59:C5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6:G36"/>
  <sheetViews>
    <sheetView topLeftCell="A5" workbookViewId="0">
      <selection activeCell="G10" sqref="G10"/>
    </sheetView>
  </sheetViews>
  <sheetFormatPr defaultRowHeight="14.4"/>
  <cols>
    <col min="2" max="2" width="17.44140625" bestFit="1" customWidth="1"/>
    <col min="4" max="4" width="14.5546875" bestFit="1" customWidth="1"/>
    <col min="7" max="7" width="15.109375" bestFit="1" customWidth="1"/>
  </cols>
  <sheetData>
    <row r="6" spans="2:7">
      <c r="B6" s="849" t="s">
        <v>277</v>
      </c>
      <c r="D6" s="849" t="s">
        <v>479</v>
      </c>
      <c r="G6" s="868">
        <f>+BS!I36</f>
        <v>153327608</v>
      </c>
    </row>
    <row r="7" spans="2:7">
      <c r="B7" s="859">
        <v>11868842477.459999</v>
      </c>
      <c r="D7" s="859">
        <v>119272861.7969</v>
      </c>
      <c r="F7" s="859"/>
      <c r="G7" s="28">
        <f>+SUM(D7:D15)</f>
        <v>136546329.30669999</v>
      </c>
    </row>
    <row r="8" spans="2:7">
      <c r="B8" s="859">
        <v>243278105.78999999</v>
      </c>
      <c r="D8" s="859">
        <v>2444760.3826000001</v>
      </c>
      <c r="F8" s="859"/>
      <c r="G8" s="28">
        <f>+SUM(D20:D34)</f>
        <v>-193746337.30849996</v>
      </c>
    </row>
    <row r="9" spans="2:7">
      <c r="B9" s="859">
        <v>46528.86</v>
      </c>
      <c r="D9">
        <v>467.57749999999999</v>
      </c>
      <c r="F9" s="859"/>
      <c r="G9" s="28">
        <f>SUM(G6:G8)</f>
        <v>96127599.998200029</v>
      </c>
    </row>
    <row r="10" spans="2:7">
      <c r="B10" s="859">
        <v>642118621.24000001</v>
      </c>
      <c r="D10" s="859">
        <v>6452804.9556999998</v>
      </c>
      <c r="F10" s="859"/>
      <c r="G10" s="28">
        <f>+BS!G36</f>
        <v>96127599.498600006</v>
      </c>
    </row>
    <row r="11" spans="2:7">
      <c r="B11" s="859">
        <v>12832410.119999999</v>
      </c>
      <c r="D11" s="859">
        <v>128955.9857</v>
      </c>
      <c r="F11" s="859"/>
    </row>
    <row r="12" spans="2:7">
      <c r="B12" s="859">
        <v>754199237.27999997</v>
      </c>
      <c r="D12" s="859">
        <v>7579129.6470999997</v>
      </c>
      <c r="F12" s="859"/>
    </row>
    <row r="13" spans="2:7">
      <c r="B13" s="860">
        <v>2140</v>
      </c>
      <c r="D13">
        <v>21.505400000000002</v>
      </c>
      <c r="F13" s="860"/>
    </row>
    <row r="14" spans="2:7">
      <c r="B14" s="859">
        <v>32367292.120000001</v>
      </c>
      <c r="D14" s="859">
        <v>325266.72820000001</v>
      </c>
      <c r="F14" s="859"/>
    </row>
    <row r="15" spans="2:7">
      <c r="B15" s="860">
        <v>34038463</v>
      </c>
      <c r="D15" s="859">
        <v>342060.72759999998</v>
      </c>
      <c r="F15" s="860"/>
    </row>
    <row r="16" spans="2:7">
      <c r="B16" s="859">
        <f>SUM(B7:B15)</f>
        <v>13587725275.870003</v>
      </c>
      <c r="D16" s="859">
        <f>SUM(D7:D15)</f>
        <v>136546329.30669999</v>
      </c>
    </row>
    <row r="17" spans="1:6">
      <c r="A17" s="42" t="s">
        <v>97</v>
      </c>
      <c r="B17" s="28">
        <f>B16/1000+1</f>
        <v>13587726.275870003</v>
      </c>
    </row>
    <row r="20" spans="1:6">
      <c r="B20" s="859">
        <v>-913731.21</v>
      </c>
      <c r="D20" s="859">
        <v>-9182.3053999999993</v>
      </c>
      <c r="F20" s="859"/>
    </row>
    <row r="21" spans="1:6">
      <c r="B21" s="859">
        <v>-12.5</v>
      </c>
      <c r="D21" s="859">
        <v>-0.12559999999999999</v>
      </c>
      <c r="F21" s="859"/>
    </row>
    <row r="22" spans="1:6">
      <c r="B22" s="859">
        <v>-15805034511.389999</v>
      </c>
      <c r="D22" s="859">
        <v>-158828605.2798</v>
      </c>
    </row>
    <row r="23" spans="1:6">
      <c r="B23" s="859">
        <v>-2901173325.5</v>
      </c>
      <c r="D23" s="859">
        <v>-29154590.749699999</v>
      </c>
      <c r="F23" s="859"/>
    </row>
    <row r="24" spans="1:6">
      <c r="B24" s="859">
        <v>-3047157</v>
      </c>
      <c r="D24" s="859">
        <v>-30621.615900000001</v>
      </c>
      <c r="F24" s="859"/>
    </row>
    <row r="25" spans="1:6">
      <c r="B25" s="860">
        <v>-32367299.120000001</v>
      </c>
      <c r="D25" s="859">
        <v>-325266.79849999998</v>
      </c>
      <c r="F25" s="860"/>
    </row>
    <row r="26" spans="1:6">
      <c r="B26" s="859">
        <v>-272422248.32999998</v>
      </c>
      <c r="D26" s="859">
        <v>-2737636.9042000002</v>
      </c>
      <c r="F26" s="859"/>
    </row>
    <row r="27" spans="1:6">
      <c r="B27" s="859">
        <v>-23896.240000000002</v>
      </c>
      <c r="D27">
        <v>-240.13910000000001</v>
      </c>
      <c r="F27" s="859"/>
    </row>
    <row r="28" spans="1:6">
      <c r="B28" s="859">
        <v>-3074.42</v>
      </c>
      <c r="D28" s="859">
        <v>-30.895600000000002</v>
      </c>
      <c r="F28" s="859"/>
    </row>
    <row r="29" spans="1:6">
      <c r="B29" s="859">
        <v>-143786.84</v>
      </c>
      <c r="D29" s="859">
        <v>-1444.9486999999999</v>
      </c>
      <c r="F29" s="859"/>
    </row>
    <row r="30" spans="1:6">
      <c r="B30" s="859">
        <v>-154606985.87</v>
      </c>
      <c r="D30" s="859">
        <v>-1553682.9044000001</v>
      </c>
      <c r="F30" s="859"/>
    </row>
    <row r="31" spans="1:6">
      <c r="B31" s="859">
        <v>-200</v>
      </c>
      <c r="D31" s="859">
        <v>-2.0097999999999998</v>
      </c>
      <c r="F31" s="859"/>
    </row>
    <row r="32" spans="1:6">
      <c r="B32" s="859">
        <v>-63021769.840000004</v>
      </c>
      <c r="D32" s="859">
        <v>-633320.97100000002</v>
      </c>
      <c r="F32" s="859"/>
    </row>
    <row r="33" spans="1:6">
      <c r="B33" s="859">
        <v>-12832410.119999999</v>
      </c>
      <c r="D33" s="859">
        <v>-128955.9857</v>
      </c>
      <c r="F33" s="859"/>
    </row>
    <row r="34" spans="1:6">
      <c r="B34" s="859">
        <v>-34107617.219999999</v>
      </c>
      <c r="D34" s="859">
        <v>-342755.67509999999</v>
      </c>
    </row>
    <row r="35" spans="1:6">
      <c r="B35" s="28">
        <f>-SUM(B20:B34)</f>
        <v>19279698025.599998</v>
      </c>
      <c r="D35" s="28">
        <f>-SUM(D20:D34)</f>
        <v>193746337.30849996</v>
      </c>
    </row>
    <row r="36" spans="1:6">
      <c r="A36" s="42" t="s">
        <v>97</v>
      </c>
      <c r="B36" s="1016">
        <f>B35/1000</f>
        <v>19279698.025599997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O55"/>
  <sheetViews>
    <sheetView showGridLines="0" view="pageBreakPreview" zoomScaleNormal="100" zoomScaleSheetLayoutView="100" workbookViewId="0">
      <selection activeCell="D33" sqref="D33"/>
    </sheetView>
  </sheetViews>
  <sheetFormatPr defaultColWidth="9.109375" defaultRowHeight="11.4"/>
  <cols>
    <col min="1" max="1" width="4.88671875" style="5" customWidth="1"/>
    <col min="2" max="2" width="8.44140625" style="5" customWidth="1"/>
    <col min="3" max="3" width="27.44140625" style="5" customWidth="1"/>
    <col min="4" max="4" width="3.44140625" style="5" customWidth="1"/>
    <col min="5" max="5" width="11.5546875" style="5" customWidth="1"/>
    <col min="6" max="6" width="0.88671875" style="6" customWidth="1"/>
    <col min="7" max="7" width="11.5546875" style="5" customWidth="1"/>
    <col min="8" max="8" width="0.88671875" style="5" customWidth="1"/>
    <col min="9" max="9" width="12.5546875" style="5" customWidth="1"/>
    <col min="10" max="10" width="0.88671875" style="6" customWidth="1"/>
    <col min="11" max="11" width="11.5546875" style="5" customWidth="1"/>
    <col min="12" max="12" width="0.88671875" style="5" customWidth="1"/>
    <col min="13" max="13" width="11.109375" style="5" customWidth="1"/>
    <col min="14" max="14" width="0.88671875" style="5" customWidth="1"/>
    <col min="15" max="15" width="9.109375" style="5" customWidth="1"/>
    <col min="16" max="16" width="15.109375" style="5" customWidth="1"/>
    <col min="17" max="17" width="9.109375" style="5"/>
    <col min="18" max="18" width="12.5546875" style="5" bestFit="1" customWidth="1"/>
    <col min="19" max="16384" width="9.109375" style="5"/>
  </cols>
  <sheetData>
    <row r="1" spans="1:15" s="498" customFormat="1" ht="14.1" customHeight="1">
      <c r="A1" s="154"/>
      <c r="B1" s="160"/>
      <c r="C1" s="158"/>
      <c r="D1" s="158"/>
      <c r="E1" s="158"/>
      <c r="F1" s="158"/>
      <c r="G1" s="158"/>
      <c r="H1" s="158"/>
      <c r="I1" s="158"/>
      <c r="J1" s="158"/>
      <c r="K1" s="158"/>
      <c r="L1" s="158"/>
      <c r="M1" s="158"/>
      <c r="N1" s="158"/>
      <c r="O1" s="158"/>
    </row>
    <row r="2" spans="1:15" s="498" customFormat="1" ht="14.1" customHeight="1">
      <c r="A2" s="154"/>
      <c r="B2" s="158"/>
      <c r="C2" s="158"/>
      <c r="D2" s="158"/>
      <c r="E2" s="158"/>
      <c r="F2" s="158"/>
      <c r="G2" s="158"/>
      <c r="H2" s="158"/>
      <c r="I2" s="158"/>
      <c r="J2" s="158"/>
      <c r="K2" s="158"/>
      <c r="L2" s="158"/>
      <c r="M2" s="158"/>
      <c r="N2" s="158"/>
      <c r="O2" s="158"/>
    </row>
    <row r="3" spans="1:15" s="497" customFormat="1" ht="14.1" customHeight="1">
      <c r="A3" s="154"/>
      <c r="B3" s="1209"/>
      <c r="C3" s="1209"/>
      <c r="D3" s="1209"/>
      <c r="E3" s="1209"/>
      <c r="F3" s="1209"/>
      <c r="G3" s="1209"/>
      <c r="H3" s="1209"/>
      <c r="I3" s="1209"/>
      <c r="J3" s="1209"/>
      <c r="K3" s="1209"/>
      <c r="L3" s="1209"/>
      <c r="M3" s="1209"/>
      <c r="N3" s="1209"/>
      <c r="O3" s="499"/>
    </row>
    <row r="4" spans="1:15" s="497" customFormat="1" ht="14.1" customHeight="1">
      <c r="A4" s="154"/>
      <c r="B4" s="161"/>
      <c r="C4" s="162"/>
      <c r="D4" s="162"/>
      <c r="E4" s="162"/>
      <c r="F4" s="128"/>
      <c r="G4" s="163"/>
      <c r="H4" s="163"/>
      <c r="I4" s="163"/>
      <c r="J4" s="141"/>
      <c r="K4" s="163"/>
      <c r="L4" s="163"/>
      <c r="M4" s="163"/>
      <c r="N4" s="164"/>
      <c r="O4" s="165"/>
    </row>
    <row r="5" spans="1:15" s="497" customFormat="1" ht="14.1" customHeight="1">
      <c r="A5" s="154"/>
      <c r="B5" s="166"/>
      <c r="C5" s="1200"/>
      <c r="D5" s="1200"/>
      <c r="E5" s="1200"/>
      <c r="F5" s="1200"/>
      <c r="G5" s="1200"/>
      <c r="H5" s="1200"/>
      <c r="I5" s="1200"/>
      <c r="J5" s="1200"/>
      <c r="K5" s="1200"/>
      <c r="L5" s="1200"/>
      <c r="M5" s="1200"/>
      <c r="N5" s="1200"/>
      <c r="O5" s="1200"/>
    </row>
    <row r="6" spans="1:15" s="497" customFormat="1" ht="14.1" customHeight="1">
      <c r="A6" s="154"/>
      <c r="B6" s="166"/>
      <c r="C6" s="1200"/>
      <c r="D6" s="1200"/>
      <c r="E6" s="1200"/>
      <c r="F6" s="1200"/>
      <c r="G6" s="1200"/>
      <c r="H6" s="1200"/>
      <c r="I6" s="1200"/>
      <c r="J6" s="1200"/>
      <c r="K6" s="1200"/>
      <c r="L6" s="1200"/>
      <c r="M6" s="1200"/>
      <c r="N6" s="1200"/>
      <c r="O6" s="1200"/>
    </row>
    <row r="7" spans="1:15" s="497" customFormat="1" ht="14.1" customHeight="1">
      <c r="A7" s="154"/>
      <c r="B7" s="166"/>
      <c r="C7" s="166"/>
      <c r="D7" s="166"/>
      <c r="E7" s="166"/>
      <c r="F7" s="166"/>
      <c r="G7" s="166"/>
      <c r="H7" s="166"/>
      <c r="I7" s="166"/>
      <c r="J7" s="166"/>
      <c r="K7" s="166"/>
      <c r="L7" s="166"/>
      <c r="M7" s="166"/>
      <c r="N7" s="166"/>
      <c r="O7" s="166"/>
    </row>
    <row r="8" spans="1:15" s="497" customFormat="1" ht="14.1" customHeight="1">
      <c r="A8" s="154"/>
      <c r="B8" s="1210"/>
      <c r="C8" s="1210"/>
      <c r="D8" s="1210"/>
      <c r="E8" s="1210"/>
      <c r="F8" s="1210"/>
      <c r="G8" s="1210"/>
      <c r="H8" s="1210"/>
      <c r="I8" s="1210"/>
      <c r="J8" s="1210"/>
      <c r="K8" s="1210"/>
      <c r="L8" s="1210"/>
      <c r="M8" s="1210"/>
      <c r="N8" s="1210"/>
      <c r="O8" s="1210"/>
    </row>
    <row r="9" spans="1:15" s="497" customFormat="1" ht="14.1" customHeight="1">
      <c r="A9" s="154"/>
      <c r="B9" s="158"/>
      <c r="C9" s="158"/>
      <c r="D9" s="158"/>
      <c r="E9" s="158"/>
      <c r="F9" s="159"/>
      <c r="G9" s="158"/>
      <c r="H9" s="158"/>
      <c r="I9" s="158"/>
      <c r="J9" s="159"/>
      <c r="K9" s="158"/>
      <c r="L9" s="159"/>
      <c r="M9" s="158"/>
      <c r="N9" s="156"/>
      <c r="O9" s="157"/>
    </row>
    <row r="10" spans="1:15" s="454" customFormat="1" ht="12" customHeight="1">
      <c r="F10" s="495"/>
      <c r="J10" s="495"/>
    </row>
    <row r="11" spans="1:15" s="454" customFormat="1" ht="12" customHeight="1">
      <c r="F11" s="495"/>
      <c r="J11" s="495"/>
    </row>
    <row r="12" spans="1:15" s="454" customFormat="1" ht="12" customHeight="1">
      <c r="F12" s="495"/>
      <c r="J12" s="495"/>
    </row>
    <row r="13" spans="1:15" s="454" customFormat="1" ht="12" customHeight="1">
      <c r="F13" s="495"/>
      <c r="J13" s="495"/>
    </row>
    <row r="14" spans="1:15" s="454" customFormat="1" ht="12" customHeight="1">
      <c r="F14" s="495"/>
      <c r="J14" s="495"/>
    </row>
    <row r="15" spans="1:15" s="454" customFormat="1" ht="12" customHeight="1">
      <c r="F15" s="495"/>
      <c r="J15" s="495"/>
    </row>
    <row r="16" spans="1:15" s="454" customFormat="1" ht="12" customHeight="1">
      <c r="F16" s="495"/>
      <c r="J16" s="495"/>
    </row>
    <row r="17" spans="6:10" s="454" customFormat="1" ht="12" customHeight="1">
      <c r="F17" s="495"/>
      <c r="J17" s="495"/>
    </row>
    <row r="18" spans="6:10" s="454" customFormat="1" ht="12" customHeight="1">
      <c r="F18" s="495"/>
      <c r="J18" s="495"/>
    </row>
    <row r="19" spans="6:10" s="454" customFormat="1" ht="12" customHeight="1">
      <c r="F19" s="495"/>
      <c r="J19" s="495"/>
    </row>
    <row r="20" spans="6:10" s="454" customFormat="1" ht="12" customHeight="1">
      <c r="F20" s="495"/>
      <c r="J20" s="495"/>
    </row>
    <row r="21" spans="6:10" s="454" customFormat="1" ht="12" customHeight="1">
      <c r="F21" s="495"/>
      <c r="J21" s="495"/>
    </row>
    <row r="22" spans="6:10" s="454" customFormat="1" ht="13.2">
      <c r="F22" s="495"/>
      <c r="J22" s="495"/>
    </row>
    <row r="23" spans="6:10" s="454" customFormat="1" ht="13.2">
      <c r="F23" s="495"/>
      <c r="J23" s="495"/>
    </row>
    <row r="24" spans="6:10" s="454" customFormat="1" ht="13.2">
      <c r="F24" s="495"/>
      <c r="J24" s="495"/>
    </row>
    <row r="25" spans="6:10" s="454" customFormat="1" ht="13.2">
      <c r="F25" s="495"/>
      <c r="J25" s="495"/>
    </row>
    <row r="26" spans="6:10" s="454" customFormat="1" ht="13.2">
      <c r="F26" s="495"/>
      <c r="J26" s="495"/>
    </row>
    <row r="27" spans="6:10" s="454" customFormat="1" ht="13.2">
      <c r="F27" s="495"/>
      <c r="J27" s="495"/>
    </row>
    <row r="28" spans="6:10" s="454" customFormat="1" ht="13.2">
      <c r="F28" s="495"/>
      <c r="J28" s="495"/>
    </row>
    <row r="29" spans="6:10" s="454" customFormat="1" ht="13.2">
      <c r="F29" s="495"/>
      <c r="J29" s="495"/>
    </row>
    <row r="30" spans="6:10" s="454" customFormat="1" ht="13.2">
      <c r="F30" s="495"/>
      <c r="J30" s="495"/>
    </row>
    <row r="31" spans="6:10" s="454" customFormat="1" ht="13.2">
      <c r="F31" s="495"/>
      <c r="J31" s="495"/>
    </row>
    <row r="32" spans="6:10" s="454" customFormat="1" ht="13.2">
      <c r="F32" s="495"/>
      <c r="J32" s="495"/>
    </row>
    <row r="33" spans="6:10" s="454" customFormat="1" ht="13.2">
      <c r="F33" s="495"/>
      <c r="J33" s="495"/>
    </row>
    <row r="34" spans="6:10" s="454" customFormat="1" ht="13.2">
      <c r="F34" s="495"/>
      <c r="J34" s="495"/>
    </row>
    <row r="35" spans="6:10" s="454" customFormat="1" ht="13.2">
      <c r="F35" s="495"/>
      <c r="J35" s="495"/>
    </row>
    <row r="36" spans="6:10" s="454" customFormat="1" ht="13.2">
      <c r="F36" s="495"/>
      <c r="J36" s="495"/>
    </row>
    <row r="37" spans="6:10" s="454" customFormat="1" ht="13.2">
      <c r="F37" s="495"/>
      <c r="J37" s="495"/>
    </row>
    <row r="38" spans="6:10" s="454" customFormat="1" ht="13.2">
      <c r="F38" s="495"/>
      <c r="J38" s="495"/>
    </row>
    <row r="39" spans="6:10" s="454" customFormat="1" ht="13.2">
      <c r="F39" s="495"/>
      <c r="J39" s="495"/>
    </row>
    <row r="40" spans="6:10" s="454" customFormat="1" ht="13.2">
      <c r="F40" s="495"/>
      <c r="J40" s="495"/>
    </row>
    <row r="41" spans="6:10" s="454" customFormat="1" ht="13.2">
      <c r="F41" s="495"/>
      <c r="J41" s="495"/>
    </row>
    <row r="42" spans="6:10" s="454" customFormat="1" ht="13.2">
      <c r="F42" s="495"/>
      <c r="J42" s="495"/>
    </row>
    <row r="43" spans="6:10" s="454" customFormat="1" ht="13.2">
      <c r="F43" s="495"/>
      <c r="J43" s="495"/>
    </row>
    <row r="44" spans="6:10" s="454" customFormat="1" ht="13.2">
      <c r="F44" s="495"/>
      <c r="J44" s="495"/>
    </row>
    <row r="45" spans="6:10" s="454" customFormat="1" ht="13.2">
      <c r="F45" s="495"/>
      <c r="J45" s="495"/>
    </row>
    <row r="46" spans="6:10" s="454" customFormat="1" ht="13.2">
      <c r="F46" s="495"/>
      <c r="J46" s="495"/>
    </row>
    <row r="47" spans="6:10" s="454" customFormat="1" ht="13.2">
      <c r="F47" s="495"/>
      <c r="J47" s="495"/>
    </row>
    <row r="48" spans="6:10" s="454" customFormat="1" ht="13.2">
      <c r="F48" s="495"/>
      <c r="J48" s="495"/>
    </row>
    <row r="49" spans="6:10" s="454" customFormat="1" ht="13.2">
      <c r="F49" s="495"/>
      <c r="J49" s="495"/>
    </row>
    <row r="50" spans="6:10" s="454" customFormat="1" ht="13.2">
      <c r="F50" s="495"/>
      <c r="J50" s="495"/>
    </row>
    <row r="51" spans="6:10" s="454" customFormat="1" ht="13.2">
      <c r="F51" s="495"/>
      <c r="J51" s="495"/>
    </row>
    <row r="52" spans="6:10" s="454" customFormat="1" ht="13.2">
      <c r="F52" s="495"/>
      <c r="J52" s="495"/>
    </row>
    <row r="53" spans="6:10" s="454" customFormat="1" ht="13.2">
      <c r="F53" s="495"/>
      <c r="J53" s="495"/>
    </row>
    <row r="54" spans="6:10" s="454" customFormat="1" ht="13.2">
      <c r="F54" s="495"/>
      <c r="J54" s="495"/>
    </row>
    <row r="55" spans="6:10" s="454" customFormat="1" ht="13.2">
      <c r="F55" s="495"/>
      <c r="J55" s="495"/>
    </row>
  </sheetData>
  <mergeCells count="3">
    <mergeCell ref="B3:N3"/>
    <mergeCell ref="C5:O6"/>
    <mergeCell ref="B8:O8"/>
  </mergeCells>
  <pageMargins left="0.75" right="0.5" top="0.75" bottom="0.5" header="0.4" footer="0.2"/>
  <pageSetup paperSize="9" scale="77" firstPageNumber="1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12"/>
  <sheetViews>
    <sheetView workbookViewId="0">
      <selection activeCell="G5" sqref="G5"/>
    </sheetView>
  </sheetViews>
  <sheetFormatPr defaultRowHeight="14.4"/>
  <sheetData>
    <row r="1" spans="1:7">
      <c r="A1" t="s">
        <v>265</v>
      </c>
      <c r="G1" t="s">
        <v>278</v>
      </c>
    </row>
    <row r="2" spans="1:7">
      <c r="A2" t="s">
        <v>266</v>
      </c>
      <c r="G2" t="s">
        <v>279</v>
      </c>
    </row>
    <row r="3" spans="1:7">
      <c r="A3" t="s">
        <v>267</v>
      </c>
      <c r="G3" t="s">
        <v>280</v>
      </c>
    </row>
    <row r="4" spans="1:7">
      <c r="A4" s="41" t="s">
        <v>268</v>
      </c>
      <c r="B4" s="41"/>
      <c r="G4" s="42" t="s">
        <v>281</v>
      </c>
    </row>
    <row r="5" spans="1:7">
      <c r="A5" t="s">
        <v>269</v>
      </c>
      <c r="G5" t="s">
        <v>282</v>
      </c>
    </row>
    <row r="6" spans="1:7">
      <c r="A6" t="s">
        <v>270</v>
      </c>
      <c r="G6" t="s">
        <v>283</v>
      </c>
    </row>
    <row r="7" spans="1:7">
      <c r="A7" t="s">
        <v>271</v>
      </c>
    </row>
    <row r="8" spans="1:7">
      <c r="A8" t="s">
        <v>272</v>
      </c>
    </row>
    <row r="9" spans="1:7">
      <c r="A9" t="s">
        <v>273</v>
      </c>
    </row>
    <row r="10" spans="1:7">
      <c r="A10" t="s">
        <v>274</v>
      </c>
    </row>
    <row r="11" spans="1:7">
      <c r="A11" t="s">
        <v>275</v>
      </c>
    </row>
    <row r="12" spans="1:7">
      <c r="A12" t="s">
        <v>276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T87"/>
  <sheetViews>
    <sheetView showGridLines="0" view="pageBreakPreview" topLeftCell="A42" zoomScaleNormal="100" zoomScaleSheetLayoutView="100" workbookViewId="0">
      <selection activeCell="F39" sqref="F39"/>
    </sheetView>
  </sheetViews>
  <sheetFormatPr defaultColWidth="9.109375" defaultRowHeight="13.2"/>
  <cols>
    <col min="1" max="1" width="9.109375" style="46"/>
    <col min="2" max="2" width="18" style="46" customWidth="1"/>
    <col min="3" max="3" width="17.88671875" style="46" customWidth="1"/>
    <col min="4" max="4" width="16.44140625" style="46" customWidth="1"/>
    <col min="5" max="5" width="8.5546875" style="116" bestFit="1" customWidth="1"/>
    <col min="6" max="6" width="13.5546875" style="46" customWidth="1"/>
    <col min="7" max="7" width="0.88671875" style="46" customWidth="1"/>
    <col min="8" max="8" width="13.5546875" style="46" customWidth="1"/>
    <col min="9" max="9" width="0.88671875" style="46" customWidth="1"/>
    <col min="10" max="10" width="13.5546875" style="46" customWidth="1"/>
    <col min="11" max="11" width="0.88671875" style="46" customWidth="1"/>
    <col min="12" max="12" width="13.5546875" style="46" customWidth="1"/>
    <col min="13" max="13" width="10.109375" style="46" customWidth="1"/>
    <col min="14" max="14" width="13.109375" style="46" bestFit="1" customWidth="1"/>
    <col min="15" max="15" width="14.109375" style="46" customWidth="1"/>
    <col min="16" max="16" width="12.88671875" style="46" customWidth="1"/>
    <col min="17" max="17" width="20.44140625" style="46" bestFit="1" customWidth="1"/>
    <col min="18" max="18" width="14.88671875" style="46" bestFit="1" customWidth="1"/>
    <col min="19" max="19" width="27.109375" style="46" bestFit="1" customWidth="1"/>
    <col min="20" max="16384" width="9.109375" style="46"/>
  </cols>
  <sheetData>
    <row r="1" spans="1:17" ht="20.399999999999999">
      <c r="A1" s="640" t="str">
        <f>BS!A1</f>
        <v xml:space="preserve">Alhamra Islamic Money Market Fund </v>
      </c>
      <c r="B1" s="372"/>
      <c r="C1" s="372"/>
      <c r="D1" s="372"/>
      <c r="E1" s="373"/>
      <c r="F1" s="374"/>
      <c r="G1" s="313"/>
      <c r="H1" s="375"/>
      <c r="I1" s="313"/>
      <c r="J1" s="375"/>
      <c r="K1" s="313"/>
      <c r="L1" s="375"/>
    </row>
    <row r="2" spans="1:17" ht="17.399999999999999">
      <c r="A2" s="641" t="s">
        <v>313</v>
      </c>
      <c r="B2" s="372"/>
      <c r="C2" s="372"/>
      <c r="D2" s="372"/>
      <c r="E2" s="373"/>
      <c r="F2" s="374"/>
      <c r="G2" s="313"/>
      <c r="H2" s="375"/>
      <c r="I2" s="313"/>
      <c r="J2" s="375"/>
      <c r="K2" s="313"/>
      <c r="L2" s="375"/>
    </row>
    <row r="3" spans="1:17">
      <c r="A3" s="642" t="s">
        <v>507</v>
      </c>
      <c r="B3" s="372"/>
      <c r="C3" s="372"/>
      <c r="D3" s="372"/>
      <c r="E3" s="373"/>
      <c r="F3" s="374"/>
      <c r="G3" s="313"/>
      <c r="H3" s="375"/>
      <c r="I3" s="313"/>
      <c r="J3" s="375"/>
      <c r="K3" s="313"/>
      <c r="L3" s="375"/>
    </row>
    <row r="4" spans="1:17" ht="14.1" customHeight="1">
      <c r="A4" s="313"/>
      <c r="B4" s="313"/>
      <c r="C4" s="313"/>
      <c r="D4" s="313"/>
      <c r="E4" s="373"/>
      <c r="F4" s="375"/>
      <c r="G4" s="313"/>
      <c r="H4" s="377"/>
      <c r="I4" s="189"/>
      <c r="J4" s="377"/>
      <c r="K4" s="189"/>
      <c r="L4" s="377"/>
    </row>
    <row r="5" spans="1:17" ht="14.1" customHeight="1">
      <c r="A5" s="313"/>
      <c r="B5" s="313"/>
      <c r="C5" s="313"/>
      <c r="D5" s="313"/>
      <c r="E5" s="373"/>
      <c r="F5" s="375"/>
      <c r="G5" s="313"/>
      <c r="H5" s="377"/>
      <c r="I5" s="189"/>
      <c r="J5" s="377"/>
      <c r="K5" s="189"/>
      <c r="L5" s="377"/>
    </row>
    <row r="6" spans="1:17" ht="14.1" customHeight="1">
      <c r="A6" s="313"/>
      <c r="B6" s="313"/>
      <c r="C6" s="313"/>
      <c r="D6" s="372"/>
      <c r="F6" s="1097" t="s">
        <v>386</v>
      </c>
      <c r="G6" s="1097"/>
      <c r="H6" s="1097"/>
      <c r="I6" s="650"/>
      <c r="J6" s="1098" t="s">
        <v>11</v>
      </c>
      <c r="K6" s="1098"/>
      <c r="L6" s="1098"/>
      <c r="Q6" s="46" t="s">
        <v>511</v>
      </c>
    </row>
    <row r="7" spans="1:17" ht="14.1" customHeight="1">
      <c r="A7" s="313"/>
      <c r="B7" s="313"/>
      <c r="C7" s="313"/>
      <c r="D7" s="372"/>
      <c r="E7" s="373"/>
      <c r="F7" s="1099" t="s">
        <v>387</v>
      </c>
      <c r="G7" s="1099"/>
      <c r="H7" s="1099"/>
      <c r="I7" s="189"/>
      <c r="J7" s="1099" t="s">
        <v>387</v>
      </c>
      <c r="K7" s="1099"/>
      <c r="L7" s="1099"/>
      <c r="O7" s="81"/>
      <c r="P7" s="81"/>
    </row>
    <row r="8" spans="1:17" ht="14.1" customHeight="1">
      <c r="A8" s="313"/>
      <c r="B8" s="313"/>
      <c r="C8" s="313"/>
      <c r="D8" s="372"/>
      <c r="E8" s="373"/>
      <c r="F8" s="378">
        <v>2022</v>
      </c>
      <c r="G8" s="379"/>
      <c r="H8" s="380">
        <v>2021</v>
      </c>
      <c r="I8" s="381"/>
      <c r="J8" s="378">
        <f>F8</f>
        <v>2022</v>
      </c>
      <c r="K8" s="379"/>
      <c r="L8" s="380">
        <f>H8</f>
        <v>2021</v>
      </c>
      <c r="M8" s="382">
        <v>44196</v>
      </c>
      <c r="O8" s="81"/>
      <c r="P8" s="81"/>
    </row>
    <row r="9" spans="1:17" ht="14.1" customHeight="1">
      <c r="A9" s="115"/>
      <c r="B9" s="313"/>
      <c r="C9" s="313"/>
      <c r="D9" s="383"/>
      <c r="E9" s="634" t="s">
        <v>1</v>
      </c>
      <c r="F9" s="1102" t="s">
        <v>63</v>
      </c>
      <c r="G9" s="1102"/>
      <c r="H9" s="1102"/>
      <c r="I9" s="1102"/>
      <c r="J9" s="1102"/>
      <c r="K9" s="1102"/>
      <c r="L9" s="1102"/>
      <c r="M9" s="652"/>
      <c r="O9" s="81"/>
      <c r="P9" s="81"/>
    </row>
    <row r="10" spans="1:17" hidden="1">
      <c r="A10" s="115"/>
      <c r="B10" s="313"/>
      <c r="C10" s="313"/>
      <c r="D10" s="383"/>
      <c r="E10" s="649"/>
      <c r="F10" s="651"/>
      <c r="G10" s="652"/>
      <c r="H10" s="652"/>
      <c r="I10" s="652"/>
      <c r="J10" s="652"/>
      <c r="K10" s="652"/>
      <c r="L10" s="652"/>
      <c r="M10" s="652"/>
      <c r="O10" s="81"/>
      <c r="P10" s="81"/>
    </row>
    <row r="11" spans="1:17" ht="14.1" customHeight="1">
      <c r="A11" s="372" t="s">
        <v>298</v>
      </c>
      <c r="B11" s="313"/>
      <c r="C11" s="313"/>
      <c r="D11" s="213"/>
      <c r="F11" s="410"/>
      <c r="G11" s="213"/>
      <c r="H11" s="377"/>
      <c r="I11" s="189"/>
      <c r="J11" s="377"/>
      <c r="K11" s="189"/>
      <c r="L11" s="377"/>
      <c r="M11" s="377"/>
      <c r="O11" s="81"/>
      <c r="P11" s="81"/>
    </row>
    <row r="12" spans="1:17" ht="14.1" customHeight="1">
      <c r="A12" s="372"/>
      <c r="B12" s="313"/>
      <c r="C12" s="313"/>
      <c r="D12" s="213"/>
      <c r="F12" s="410"/>
      <c r="G12" s="213"/>
      <c r="H12" s="377"/>
      <c r="I12" s="189"/>
      <c r="J12" s="377"/>
      <c r="K12" s="189"/>
      <c r="L12" s="377"/>
      <c r="M12" s="377"/>
      <c r="O12" s="81"/>
      <c r="P12" s="81"/>
    </row>
    <row r="13" spans="1:17" ht="14.1" customHeight="1">
      <c r="A13" s="431" t="s">
        <v>492</v>
      </c>
      <c r="B13" s="313"/>
      <c r="C13" s="313"/>
      <c r="D13" s="189"/>
      <c r="E13" s="213"/>
      <c r="F13" s="432">
        <f>TB!E100+TB!D98</f>
        <v>278440.34619000001</v>
      </c>
      <c r="G13" s="375"/>
      <c r="H13" s="433">
        <f>33806+7032</f>
        <v>40838</v>
      </c>
      <c r="I13" s="375"/>
      <c r="J13" s="434">
        <f>F13-M13</f>
        <v>57009.569799999997</v>
      </c>
      <c r="K13" s="375"/>
      <c r="L13" s="433">
        <f>32266+4650</f>
        <v>36916</v>
      </c>
      <c r="M13" s="375">
        <f>221430.77639</f>
        <v>221430.77639000001</v>
      </c>
      <c r="N13" s="82">
        <f>M13-17038</f>
        <v>204392.77639000001</v>
      </c>
      <c r="O13" s="117"/>
      <c r="P13" s="117"/>
    </row>
    <row r="14" spans="1:17" ht="14.1" customHeight="1">
      <c r="A14" s="431" t="s">
        <v>493</v>
      </c>
      <c r="B14" s="313"/>
      <c r="C14" s="313"/>
      <c r="D14" s="435"/>
      <c r="E14" s="436"/>
      <c r="F14" s="437"/>
      <c r="G14" s="435"/>
      <c r="H14" s="438"/>
      <c r="I14" s="375"/>
      <c r="J14" s="439"/>
      <c r="K14" s="375"/>
      <c r="L14" s="438"/>
      <c r="M14" s="375"/>
      <c r="O14" s="441"/>
      <c r="P14" s="117"/>
    </row>
    <row r="15" spans="1:17" ht="14.1" customHeight="1">
      <c r="A15" s="431" t="s">
        <v>290</v>
      </c>
      <c r="B15" s="313"/>
      <c r="C15" s="313"/>
      <c r="D15" s="435"/>
      <c r="E15" s="436"/>
      <c r="F15" s="437">
        <f>-TB!C85-TB!C86</f>
        <v>-70.40100000000001</v>
      </c>
      <c r="G15" s="435"/>
      <c r="H15" s="438">
        <v>-1922</v>
      </c>
      <c r="I15" s="375"/>
      <c r="J15" s="439">
        <f>ROUND(F15-M15,0)</f>
        <v>0</v>
      </c>
      <c r="K15" s="375"/>
      <c r="L15" s="440">
        <v>0</v>
      </c>
      <c r="M15" s="375">
        <v>-70</v>
      </c>
      <c r="O15" s="441"/>
      <c r="P15" s="117"/>
    </row>
    <row r="16" spans="1:17" ht="14.1" customHeight="1">
      <c r="A16" s="313" t="s">
        <v>503</v>
      </c>
      <c r="B16" s="313"/>
      <c r="C16" s="313"/>
      <c r="D16" s="435"/>
      <c r="E16" s="436"/>
      <c r="F16" s="437">
        <f>TB!E94+TB!D80</f>
        <v>626132.96649999998</v>
      </c>
      <c r="G16" s="435"/>
      <c r="H16" s="438">
        <v>144491</v>
      </c>
      <c r="I16" s="375"/>
      <c r="J16" s="442">
        <f t="shared" ref="J16" si="0">F16-M16</f>
        <v>254936.96649999998</v>
      </c>
      <c r="K16" s="375"/>
      <c r="L16" s="440">
        <v>123566</v>
      </c>
      <c r="M16" s="375">
        <v>371196</v>
      </c>
      <c r="O16" s="117" t="s">
        <v>81</v>
      </c>
      <c r="P16" s="117"/>
    </row>
    <row r="17" spans="1:18" ht="14.1" customHeight="1">
      <c r="A17" s="445" t="s">
        <v>53</v>
      </c>
      <c r="B17" s="313"/>
      <c r="C17" s="313"/>
      <c r="D17" s="412"/>
      <c r="E17" s="443"/>
      <c r="F17" s="446" t="s">
        <v>94</v>
      </c>
      <c r="G17" s="444"/>
      <c r="H17" s="447">
        <v>25</v>
      </c>
      <c r="I17" s="444"/>
      <c r="J17" s="448">
        <v>0</v>
      </c>
      <c r="K17" s="444"/>
      <c r="L17" s="449">
        <v>0</v>
      </c>
      <c r="M17" s="375">
        <v>0</v>
      </c>
      <c r="O17" s="117"/>
      <c r="P17" s="117"/>
    </row>
    <row r="18" spans="1:18" ht="14.1" customHeight="1">
      <c r="A18" s="283" t="s">
        <v>12</v>
      </c>
      <c r="B18" s="313"/>
      <c r="C18" s="313"/>
      <c r="D18" s="435"/>
      <c r="E18" s="436"/>
      <c r="F18" s="450">
        <f>SUM(F13:F17)</f>
        <v>904502.91168999998</v>
      </c>
      <c r="G18" s="435"/>
      <c r="H18" s="451">
        <f>SUM(H13:H17)+1</f>
        <v>183433</v>
      </c>
      <c r="I18" s="375"/>
      <c r="J18" s="450">
        <f>SUM(J13:J17)</f>
        <v>311946.53629999998</v>
      </c>
      <c r="K18" s="375"/>
      <c r="L18" s="451">
        <f>SUM(L13:L17)+1</f>
        <v>160483</v>
      </c>
      <c r="M18" s="450">
        <f>SUM(M13:M17)</f>
        <v>592556.77639000001</v>
      </c>
      <c r="N18" s="82"/>
      <c r="O18" s="452" t="e">
        <f>#REF!-H18</f>
        <v>#REF!</v>
      </c>
      <c r="P18" s="89" t="e">
        <f>#REF!-L18</f>
        <v>#REF!</v>
      </c>
    </row>
    <row r="19" spans="1:18" ht="14.1" customHeight="1">
      <c r="A19" s="115"/>
      <c r="B19" s="115"/>
      <c r="C19" s="115"/>
      <c r="D19" s="377"/>
      <c r="E19" s="410"/>
      <c r="F19" s="374"/>
      <c r="G19" s="375"/>
      <c r="H19" s="375"/>
      <c r="I19" s="375"/>
      <c r="J19" s="374"/>
      <c r="K19" s="375"/>
      <c r="L19" s="375"/>
      <c r="M19" s="375"/>
    </row>
    <row r="20" spans="1:18" hidden="1">
      <c r="A20" s="115"/>
      <c r="B20" s="115"/>
      <c r="C20" s="115"/>
      <c r="D20" s="377"/>
      <c r="E20" s="410"/>
      <c r="F20" s="374"/>
      <c r="G20" s="375"/>
      <c r="H20" s="375"/>
      <c r="I20" s="375"/>
      <c r="J20" s="374"/>
      <c r="K20" s="375"/>
      <c r="L20" s="375"/>
      <c r="M20" s="375"/>
    </row>
    <row r="21" spans="1:18" ht="14.1" customHeight="1">
      <c r="A21" s="283" t="s">
        <v>299</v>
      </c>
      <c r="B21" s="313"/>
      <c r="C21" s="313"/>
      <c r="D21" s="435"/>
      <c r="E21" s="436"/>
      <c r="F21" s="453"/>
      <c r="G21" s="435"/>
      <c r="H21" s="435"/>
      <c r="I21" s="375"/>
      <c r="J21" s="374"/>
      <c r="K21" s="375"/>
      <c r="L21" s="375"/>
      <c r="M21" s="375"/>
    </row>
    <row r="22" spans="1:18" ht="14.1" customHeight="1">
      <c r="A22" s="283"/>
      <c r="B22" s="313"/>
      <c r="C22" s="313"/>
      <c r="D22" s="435"/>
      <c r="E22" s="436"/>
      <c r="F22" s="453"/>
      <c r="G22" s="435"/>
      <c r="H22" s="435"/>
      <c r="I22" s="375"/>
      <c r="J22" s="374"/>
      <c r="K22" s="375"/>
      <c r="L22" s="375"/>
      <c r="M22" s="375"/>
    </row>
    <row r="23" spans="1:18" ht="14.1" customHeight="1">
      <c r="A23" s="1101"/>
      <c r="B23" s="1101"/>
      <c r="C23" s="1101"/>
      <c r="D23" s="1101"/>
      <c r="E23" s="46"/>
      <c r="F23" s="636"/>
      <c r="G23" s="412"/>
      <c r="H23" s="637"/>
      <c r="I23" s="398"/>
      <c r="J23" s="638"/>
      <c r="K23" s="398"/>
      <c r="L23" s="639"/>
      <c r="M23" s="635"/>
      <c r="N23" s="89"/>
    </row>
    <row r="24" spans="1:18" ht="14.1" customHeight="1">
      <c r="A24" s="1101" t="s">
        <v>494</v>
      </c>
      <c r="B24" s="1101"/>
      <c r="C24" s="1101"/>
      <c r="D24" s="1101"/>
      <c r="E24" s="633"/>
      <c r="F24" s="437">
        <f>TB!C107</f>
        <v>13335.49964</v>
      </c>
      <c r="G24" s="412" t="s">
        <v>3</v>
      </c>
      <c r="H24" s="438">
        <v>1581</v>
      </c>
      <c r="I24" s="398"/>
      <c r="J24" s="442">
        <f>F24-M24</f>
        <v>3319.49964</v>
      </c>
      <c r="K24" s="398"/>
      <c r="L24" s="440">
        <v>1315</v>
      </c>
      <c r="M24" s="850">
        <v>10016</v>
      </c>
      <c r="N24" s="89"/>
      <c r="O24" s="82"/>
    </row>
    <row r="25" spans="1:18" ht="14.1" customHeight="1">
      <c r="A25" s="454" t="s">
        <v>107</v>
      </c>
      <c r="B25" s="313"/>
      <c r="C25" s="313"/>
      <c r="D25" s="412"/>
      <c r="E25" s="633"/>
      <c r="F25" s="437">
        <f>ROUND(TB!C108,0)</f>
        <v>1734</v>
      </c>
      <c r="G25" s="412"/>
      <c r="H25" s="438">
        <v>205</v>
      </c>
      <c r="I25" s="398"/>
      <c r="J25" s="442">
        <f>F25-M25</f>
        <v>432</v>
      </c>
      <c r="K25" s="398"/>
      <c r="L25" s="440">
        <v>171</v>
      </c>
      <c r="M25" s="850">
        <v>1302</v>
      </c>
      <c r="N25" s="89"/>
      <c r="O25" s="85"/>
      <c r="P25" s="85"/>
      <c r="Q25" s="85"/>
    </row>
    <row r="26" spans="1:18" ht="14.1" customHeight="1">
      <c r="A26" s="454" t="s">
        <v>134</v>
      </c>
      <c r="B26" s="313"/>
      <c r="C26" s="313"/>
      <c r="D26" s="412"/>
      <c r="E26" s="633"/>
      <c r="F26" s="437">
        <f>ROUND(SUM(TB!C118),0)</f>
        <v>142</v>
      </c>
      <c r="G26" s="412"/>
      <c r="H26" s="438">
        <v>21</v>
      </c>
      <c r="I26" s="398"/>
      <c r="J26" s="442">
        <f>F26-M26</f>
        <v>0</v>
      </c>
      <c r="K26" s="398"/>
      <c r="L26" s="440">
        <v>0</v>
      </c>
      <c r="M26" s="850">
        <v>142</v>
      </c>
      <c r="N26" s="89"/>
    </row>
    <row r="27" spans="1:18" ht="14.1" customHeight="1">
      <c r="A27" s="456" t="s">
        <v>514</v>
      </c>
      <c r="B27" s="313"/>
      <c r="C27" s="313"/>
      <c r="D27" s="412"/>
      <c r="E27" s="633"/>
      <c r="F27" s="437">
        <f>ROUND(SUM(TB!C112),0)</f>
        <v>6115</v>
      </c>
      <c r="G27" s="412"/>
      <c r="H27" s="438">
        <v>1097</v>
      </c>
      <c r="I27" s="398"/>
      <c r="J27" s="442">
        <f>F27-M27</f>
        <v>1346</v>
      </c>
      <c r="K27" s="398"/>
      <c r="L27" s="440">
        <v>1019</v>
      </c>
      <c r="M27" s="850">
        <v>4769</v>
      </c>
      <c r="N27" s="89"/>
      <c r="O27" s="70"/>
    </row>
    <row r="28" spans="1:18" ht="14.1" customHeight="1">
      <c r="A28" s="454" t="s">
        <v>108</v>
      </c>
      <c r="B28" s="313"/>
      <c r="C28" s="313"/>
      <c r="D28" s="412"/>
      <c r="E28" s="633"/>
      <c r="F28" s="437">
        <f>TB!C114</f>
        <v>794.98299999999995</v>
      </c>
      <c r="G28" s="412"/>
      <c r="H28" s="438">
        <v>143</v>
      </c>
      <c r="I28" s="398"/>
      <c r="J28" s="442">
        <f t="shared" ref="J28:J33" si="1">F28-M28</f>
        <v>174.98299999999995</v>
      </c>
      <c r="K28" s="398"/>
      <c r="L28" s="440">
        <v>133</v>
      </c>
      <c r="M28" s="850">
        <v>620</v>
      </c>
      <c r="N28" s="89"/>
      <c r="P28" s="425"/>
    </row>
    <row r="29" spans="1:18" ht="14.1" customHeight="1">
      <c r="A29" s="456" t="s">
        <v>109</v>
      </c>
      <c r="B29" s="313"/>
      <c r="C29" s="313"/>
      <c r="D29" s="412"/>
      <c r="E29" s="633"/>
      <c r="F29" s="437">
        <f>TB!C116</f>
        <v>2085.6320000000001</v>
      </c>
      <c r="G29" s="412" t="s">
        <v>3</v>
      </c>
      <c r="H29" s="438">
        <v>318</v>
      </c>
      <c r="I29" s="398"/>
      <c r="J29" s="442">
        <f t="shared" si="1"/>
        <v>618.63200000000006</v>
      </c>
      <c r="K29" s="398"/>
      <c r="L29" s="440">
        <v>311</v>
      </c>
      <c r="M29" s="850">
        <v>1467</v>
      </c>
      <c r="N29" s="89"/>
    </row>
    <row r="30" spans="1:18" ht="14.1" customHeight="1">
      <c r="A30" s="313" t="s">
        <v>510</v>
      </c>
      <c r="B30" s="313"/>
      <c r="C30" s="313"/>
      <c r="D30" s="412"/>
      <c r="E30" s="633">
        <f>'Notes 7-8'!A41</f>
        <v>8.1</v>
      </c>
      <c r="F30" s="437">
        <f>-TB!D135</f>
        <v>-10908.505519999999</v>
      </c>
      <c r="G30" s="398"/>
      <c r="H30" s="438">
        <v>3583</v>
      </c>
      <c r="I30" s="398"/>
      <c r="J30" s="442">
        <f>F30-M30</f>
        <v>0.49448000000120373</v>
      </c>
      <c r="K30" s="398"/>
      <c r="L30" s="440">
        <v>3141</v>
      </c>
      <c r="M30" s="850">
        <v>-10909</v>
      </c>
      <c r="N30" s="89"/>
      <c r="O30" s="457"/>
      <c r="P30" s="81"/>
      <c r="Q30" s="81"/>
      <c r="R30" s="81"/>
    </row>
    <row r="31" spans="1:18" ht="14.1" customHeight="1">
      <c r="A31" s="445" t="s">
        <v>336</v>
      </c>
      <c r="B31" s="313"/>
      <c r="C31" s="313"/>
      <c r="D31" s="412"/>
      <c r="E31" s="633"/>
      <c r="F31" s="437">
        <f>TB!C121</f>
        <v>3554.19904</v>
      </c>
      <c r="G31" s="412"/>
      <c r="H31" s="438">
        <v>165</v>
      </c>
      <c r="I31" s="398"/>
      <c r="J31" s="439">
        <f>ROUND(F31-M31,0)</f>
        <v>0</v>
      </c>
      <c r="K31" s="398"/>
      <c r="L31" s="440">
        <v>0</v>
      </c>
      <c r="M31" s="850">
        <v>3554</v>
      </c>
      <c r="N31" s="89"/>
    </row>
    <row r="32" spans="1:18" ht="14.1" customHeight="1">
      <c r="A32" s="313" t="s">
        <v>13</v>
      </c>
      <c r="B32" s="313"/>
      <c r="C32" s="313"/>
      <c r="D32" s="412"/>
      <c r="E32" s="633"/>
      <c r="F32" s="437">
        <f>TB!C123</f>
        <v>9.9087499999999995</v>
      </c>
      <c r="G32" s="412"/>
      <c r="H32" s="438">
        <v>109</v>
      </c>
      <c r="I32" s="398"/>
      <c r="J32" s="439">
        <f>ROUND(F32-M32,0)</f>
        <v>10</v>
      </c>
      <c r="K32" s="398"/>
      <c r="L32" s="440">
        <v>91</v>
      </c>
      <c r="M32" s="850">
        <v>0</v>
      </c>
      <c r="N32" s="89"/>
      <c r="O32" s="457"/>
      <c r="P32" s="81"/>
      <c r="Q32" s="415"/>
      <c r="R32" s="81"/>
    </row>
    <row r="33" spans="1:20" ht="14.1" customHeight="1">
      <c r="A33" s="313" t="s">
        <v>100</v>
      </c>
      <c r="B33" s="313"/>
      <c r="C33" s="313"/>
      <c r="D33" s="412"/>
      <c r="E33" s="455"/>
      <c r="F33" s="437">
        <f>ROUND(SUM(TB!E125:E132),0)</f>
        <v>1069</v>
      </c>
      <c r="G33" s="412"/>
      <c r="H33" s="438">
        <v>152</v>
      </c>
      <c r="I33" s="398"/>
      <c r="J33" s="437">
        <f t="shared" si="1"/>
        <v>535</v>
      </c>
      <c r="K33" s="398"/>
      <c r="L33" s="440">
        <v>114</v>
      </c>
      <c r="M33" s="850">
        <v>534</v>
      </c>
      <c r="N33" s="89"/>
      <c r="P33" s="46">
        <f>183433-7852</f>
        <v>175581</v>
      </c>
    </row>
    <row r="34" spans="1:20" ht="14.1" customHeight="1">
      <c r="A34" s="313" t="s">
        <v>15</v>
      </c>
      <c r="B34" s="313"/>
      <c r="C34" s="313"/>
      <c r="D34" s="412"/>
      <c r="E34" s="455"/>
      <c r="F34" s="437">
        <f>TB!C140+TB!C141</f>
        <v>248.99027000000001</v>
      </c>
      <c r="G34" s="412"/>
      <c r="H34" s="438">
        <v>83</v>
      </c>
      <c r="I34" s="398"/>
      <c r="J34" s="439">
        <f t="shared" ref="J34:J36" si="2">ROUND(F34-M34,0)</f>
        <v>47</v>
      </c>
      <c r="K34" s="398"/>
      <c r="L34" s="440">
        <v>45</v>
      </c>
      <c r="M34" s="850">
        <v>202</v>
      </c>
      <c r="N34" s="89"/>
      <c r="Q34" s="428"/>
      <c r="S34" s="98">
        <f>R34/1000</f>
        <v>0</v>
      </c>
    </row>
    <row r="35" spans="1:20" ht="14.1" customHeight="1">
      <c r="A35" s="313" t="s">
        <v>16</v>
      </c>
      <c r="B35" s="313"/>
      <c r="C35" s="313"/>
      <c r="D35" s="412"/>
      <c r="E35" s="455"/>
      <c r="F35" s="437">
        <f>TB!C143</f>
        <v>509.54199999999997</v>
      </c>
      <c r="G35" s="412"/>
      <c r="H35" s="438">
        <v>46</v>
      </c>
      <c r="I35" s="398"/>
      <c r="J35" s="439">
        <f t="shared" si="2"/>
        <v>43</v>
      </c>
      <c r="K35" s="398"/>
      <c r="L35" s="440">
        <v>16</v>
      </c>
      <c r="M35" s="850">
        <v>467</v>
      </c>
      <c r="N35" s="89"/>
      <c r="Q35" s="428"/>
      <c r="S35" s="98"/>
    </row>
    <row r="36" spans="1:20" ht="14.1" customHeight="1">
      <c r="A36" s="313" t="s">
        <v>83</v>
      </c>
      <c r="B36" s="313"/>
      <c r="C36" s="313"/>
      <c r="D36" s="412"/>
      <c r="E36" s="455"/>
      <c r="F36" s="437">
        <v>0</v>
      </c>
      <c r="G36" s="412"/>
      <c r="H36" s="438">
        <v>20</v>
      </c>
      <c r="I36" s="398"/>
      <c r="J36" s="439">
        <f t="shared" si="2"/>
        <v>0</v>
      </c>
      <c r="K36" s="398"/>
      <c r="L36" s="440">
        <v>0</v>
      </c>
      <c r="M36" s="850">
        <v>0</v>
      </c>
      <c r="N36" s="89">
        <f>733/(365*5)*50</f>
        <v>20.082191780821919</v>
      </c>
    </row>
    <row r="37" spans="1:20" ht="14.1" customHeight="1">
      <c r="A37" s="313" t="s">
        <v>17</v>
      </c>
      <c r="B37" s="313"/>
      <c r="C37" s="313"/>
      <c r="D37" s="412"/>
      <c r="E37" s="455"/>
      <c r="F37" s="437">
        <f>TB!C137</f>
        <v>474.38400000000001</v>
      </c>
      <c r="G37" s="412"/>
      <c r="H37" s="438">
        <v>200</v>
      </c>
      <c r="I37" s="398"/>
      <c r="J37" s="439">
        <f>ROUND(F37-M37,0)</f>
        <v>153</v>
      </c>
      <c r="K37" s="398"/>
      <c r="L37" s="440">
        <v>115</v>
      </c>
      <c r="M37" s="850">
        <v>321</v>
      </c>
      <c r="N37" s="89"/>
      <c r="Q37" s="70"/>
    </row>
    <row r="38" spans="1:20" ht="14.1" customHeight="1">
      <c r="A38" s="313" t="s">
        <v>385</v>
      </c>
      <c r="B38" s="313"/>
      <c r="C38" s="313"/>
      <c r="D38" s="412"/>
      <c r="E38" s="455"/>
      <c r="F38" s="437">
        <f>TB!C145</f>
        <v>518</v>
      </c>
      <c r="G38" s="412"/>
      <c r="H38" s="438">
        <v>97</v>
      </c>
      <c r="I38" s="398"/>
      <c r="J38" s="439">
        <f>ROUND(F38-M38,0)</f>
        <v>180</v>
      </c>
      <c r="K38" s="398"/>
      <c r="L38" s="440">
        <v>97</v>
      </c>
      <c r="M38" s="850">
        <v>338</v>
      </c>
      <c r="N38" s="89"/>
      <c r="Q38" s="70"/>
    </row>
    <row r="39" spans="1:20" ht="14.1" customHeight="1">
      <c r="A39" s="313" t="s">
        <v>477</v>
      </c>
      <c r="B39" s="313"/>
      <c r="C39" s="313"/>
      <c r="D39" s="412"/>
      <c r="E39" s="455"/>
      <c r="F39" s="437">
        <f>+TB!D80</f>
        <v>506.67599999999999</v>
      </c>
      <c r="G39" s="412"/>
      <c r="H39" s="438">
        <v>0</v>
      </c>
      <c r="I39" s="398"/>
      <c r="J39" s="439">
        <f>ROUND(F39-M39,0)</f>
        <v>233</v>
      </c>
      <c r="K39" s="398"/>
      <c r="L39" s="440">
        <v>0</v>
      </c>
      <c r="M39" s="850">
        <v>274</v>
      </c>
      <c r="N39" s="89"/>
      <c r="Q39" s="70"/>
    </row>
    <row r="40" spans="1:20" ht="14.1" customHeight="1">
      <c r="A40" s="189" t="s">
        <v>18</v>
      </c>
      <c r="B40" s="313"/>
      <c r="C40" s="313"/>
      <c r="D40" s="412"/>
      <c r="E40" s="455"/>
      <c r="F40" s="446">
        <f>TB!C146</f>
        <v>40.85</v>
      </c>
      <c r="G40" s="412" t="s">
        <v>3</v>
      </c>
      <c r="H40" s="447">
        <v>32</v>
      </c>
      <c r="I40" s="398"/>
      <c r="J40" s="458">
        <f>ROUND(F40-M40,0)</f>
        <v>12</v>
      </c>
      <c r="K40" s="398"/>
      <c r="L40" s="449">
        <v>18</v>
      </c>
      <c r="M40" s="850">
        <v>29</v>
      </c>
      <c r="N40" s="89"/>
      <c r="O40" s="117"/>
      <c r="P40" s="89"/>
      <c r="T40" s="98"/>
    </row>
    <row r="41" spans="1:20" ht="14.1" customHeight="1">
      <c r="A41" s="283" t="s">
        <v>19</v>
      </c>
      <c r="B41" s="313"/>
      <c r="C41" s="313"/>
      <c r="D41" s="412"/>
      <c r="E41" s="455"/>
      <c r="F41" s="460">
        <f>SUM(F23:F40)+1</f>
        <v>20231.159180000002</v>
      </c>
      <c r="G41" s="412"/>
      <c r="H41" s="412">
        <f>SUM(H23:H40)</f>
        <v>7852</v>
      </c>
      <c r="I41" s="412"/>
      <c r="J41" s="460">
        <f>SUM(J23:J40)</f>
        <v>7104.609120000001</v>
      </c>
      <c r="K41" s="375"/>
      <c r="L41" s="412">
        <f>SUM(L23:L40)</f>
        <v>6586</v>
      </c>
      <c r="M41" s="412">
        <f>SUM(M23:M40)</f>
        <v>13126</v>
      </c>
      <c r="N41" s="82">
        <v>1982</v>
      </c>
      <c r="O41" s="414">
        <f>N41-M41</f>
        <v>-11144</v>
      </c>
      <c r="P41" s="414"/>
      <c r="Q41" s="82"/>
    </row>
    <row r="42" spans="1:20" ht="14.1" customHeight="1">
      <c r="A42" s="283"/>
      <c r="B42" s="313"/>
      <c r="C42" s="313"/>
      <c r="D42" s="412"/>
      <c r="E42" s="455"/>
      <c r="F42" s="459"/>
      <c r="G42" s="412"/>
      <c r="H42" s="412"/>
      <c r="I42" s="412"/>
      <c r="J42" s="460"/>
      <c r="K42" s="375"/>
      <c r="L42" s="412"/>
      <c r="M42" s="461"/>
      <c r="O42" s="89"/>
      <c r="P42" s="81"/>
    </row>
    <row r="43" spans="1:20" ht="14.1" customHeight="1">
      <c r="A43" s="462" t="s">
        <v>20</v>
      </c>
      <c r="B43" s="463"/>
      <c r="C43" s="463"/>
      <c r="D43" s="412"/>
      <c r="E43" s="455"/>
      <c r="F43" s="450">
        <f>F18-F41+1</f>
        <v>884272.75251000002</v>
      </c>
      <c r="G43" s="412"/>
      <c r="H43" s="451">
        <f>H18-H41</f>
        <v>175581</v>
      </c>
      <c r="I43" s="412"/>
      <c r="J43" s="450">
        <f>J18-J41</f>
        <v>304841.92718</v>
      </c>
      <c r="K43" s="375"/>
      <c r="L43" s="451">
        <f>L18-L41</f>
        <v>153897</v>
      </c>
      <c r="M43" s="451">
        <f>M18-M41</f>
        <v>579430.77639000001</v>
      </c>
      <c r="N43" s="82"/>
      <c r="P43" s="82"/>
      <c r="Q43" s="82"/>
      <c r="R43" s="82"/>
    </row>
    <row r="44" spans="1:20" ht="14.1" customHeight="1">
      <c r="A44" s="423"/>
      <c r="B44" s="423"/>
      <c r="C44" s="423"/>
      <c r="D44" s="398"/>
      <c r="E44" s="455"/>
      <c r="F44" s="464"/>
      <c r="G44" s="398"/>
      <c r="H44" s="398"/>
      <c r="I44" s="398"/>
      <c r="J44" s="464"/>
      <c r="K44" s="398"/>
      <c r="L44" s="398"/>
      <c r="M44" s="398"/>
    </row>
    <row r="45" spans="1:20" ht="14.1" customHeight="1">
      <c r="A45" s="385" t="s">
        <v>21</v>
      </c>
      <c r="B45" s="386"/>
      <c r="C45" s="386"/>
      <c r="D45" s="387"/>
      <c r="E45" s="633" t="str">
        <f>LEFT('Notes 9-13'!A10,2)</f>
        <v>11</v>
      </c>
      <c r="F45" s="389">
        <v>0</v>
      </c>
      <c r="G45" s="388"/>
      <c r="H45" s="390">
        <v>0</v>
      </c>
      <c r="I45" s="391"/>
      <c r="J45" s="390">
        <v>0</v>
      </c>
      <c r="K45" s="391"/>
      <c r="L45" s="390">
        <v>0</v>
      </c>
      <c r="M45" s="390">
        <v>0</v>
      </c>
      <c r="O45" s="46">
        <v>9802</v>
      </c>
      <c r="Q45" s="82"/>
    </row>
    <row r="46" spans="1:20" ht="14.1" customHeight="1">
      <c r="A46" s="385"/>
      <c r="B46" s="386"/>
      <c r="C46" s="386"/>
      <c r="D46" s="387"/>
      <c r="E46" s="388"/>
      <c r="F46" s="389"/>
      <c r="G46" s="388"/>
      <c r="H46" s="390"/>
      <c r="I46" s="391"/>
      <c r="J46" s="390"/>
      <c r="K46" s="391"/>
      <c r="L46" s="390"/>
      <c r="O46" s="82">
        <f>F43-O45</f>
        <v>874470.75251000002</v>
      </c>
      <c r="P46" s="70"/>
    </row>
    <row r="47" spans="1:20" s="58" customFormat="1" ht="14.1" customHeight="1" thickBot="1">
      <c r="A47" s="399" t="s">
        <v>76</v>
      </c>
      <c r="B47" s="400"/>
      <c r="C47" s="400"/>
      <c r="D47" s="401"/>
      <c r="E47" s="402"/>
      <c r="F47" s="818">
        <f>F43</f>
        <v>884272.75251000002</v>
      </c>
      <c r="G47" s="465"/>
      <c r="H47" s="819">
        <f>H43</f>
        <v>175581</v>
      </c>
      <c r="I47" s="466"/>
      <c r="J47" s="818">
        <f>J43</f>
        <v>304841.92718</v>
      </c>
      <c r="K47" s="466"/>
      <c r="L47" s="819">
        <f>L43</f>
        <v>153897</v>
      </c>
      <c r="M47" s="403">
        <f>M43-M45</f>
        <v>579430.77639000001</v>
      </c>
      <c r="O47" s="94"/>
    </row>
    <row r="48" spans="1:20" s="58" customFormat="1" ht="14.1" customHeight="1">
      <c r="A48" s="399"/>
      <c r="B48" s="400"/>
      <c r="C48" s="400"/>
      <c r="D48" s="401"/>
      <c r="E48" s="402"/>
      <c r="F48" s="481"/>
      <c r="G48" s="465"/>
      <c r="H48" s="482"/>
      <c r="I48" s="466"/>
      <c r="J48" s="481"/>
      <c r="K48" s="466"/>
      <c r="L48" s="482"/>
      <c r="M48" s="481"/>
      <c r="O48" s="94"/>
    </row>
    <row r="49" spans="1:19" s="472" customFormat="1" ht="14.1" customHeight="1">
      <c r="A49" s="474" t="s">
        <v>312</v>
      </c>
      <c r="B49" s="467"/>
      <c r="C49" s="467"/>
      <c r="D49" s="468"/>
      <c r="E49" s="475"/>
      <c r="F49" s="470"/>
      <c r="G49" s="469"/>
      <c r="H49" s="470"/>
      <c r="I49" s="471"/>
      <c r="J49" s="470"/>
      <c r="K49" s="471"/>
      <c r="L49" s="470"/>
      <c r="M49" s="470"/>
      <c r="O49" s="473"/>
      <c r="Q49" s="476"/>
    </row>
    <row r="50" spans="1:19" s="472" customFormat="1" ht="14.1" customHeight="1">
      <c r="A50" s="477" t="s">
        <v>76</v>
      </c>
      <c r="B50" s="467"/>
      <c r="C50" s="467"/>
      <c r="D50" s="468"/>
      <c r="E50" s="475"/>
      <c r="F50" s="478">
        <f>ROUND(F47,0)</f>
        <v>884273</v>
      </c>
      <c r="G50" s="469"/>
      <c r="H50" s="479">
        <f>H47</f>
        <v>175581</v>
      </c>
      <c r="I50" s="480"/>
      <c r="J50" s="820"/>
      <c r="K50" s="821"/>
      <c r="L50" s="822"/>
      <c r="M50" s="479">
        <f>M47</f>
        <v>579430.77639000001</v>
      </c>
      <c r="O50" s="473"/>
      <c r="P50" s="97"/>
    </row>
    <row r="51" spans="1:19" s="472" customFormat="1" ht="14.1" customHeight="1">
      <c r="A51" s="477" t="s">
        <v>77</v>
      </c>
      <c r="B51" s="467"/>
      <c r="C51" s="467"/>
      <c r="D51" s="468"/>
      <c r="E51" s="475"/>
      <c r="F51" s="481">
        <v>0</v>
      </c>
      <c r="G51" s="469"/>
      <c r="H51" s="482">
        <v>-5309</v>
      </c>
      <c r="I51" s="471"/>
      <c r="J51" s="481"/>
      <c r="K51" s="471"/>
      <c r="L51" s="482"/>
      <c r="M51" s="785">
        <v>-5309</v>
      </c>
      <c r="O51" s="473"/>
      <c r="P51" s="591" t="s">
        <v>148</v>
      </c>
      <c r="Q51" s="591" t="s">
        <v>149</v>
      </c>
      <c r="R51" s="591" t="s">
        <v>150</v>
      </c>
      <c r="S51" s="591" t="s">
        <v>151</v>
      </c>
    </row>
    <row r="52" spans="1:19" s="58" customFormat="1" ht="14.1" customHeight="1" thickBot="1">
      <c r="A52" s="483"/>
      <c r="B52" s="400"/>
      <c r="C52" s="400"/>
      <c r="D52" s="401"/>
      <c r="E52" s="402"/>
      <c r="F52" s="403">
        <f>SUM(F50:F51)</f>
        <v>884273</v>
      </c>
      <c r="G52" s="465"/>
      <c r="H52" s="404">
        <f>SUM(H50:H51)</f>
        <v>170272</v>
      </c>
      <c r="I52" s="466"/>
      <c r="J52" s="481"/>
      <c r="K52" s="466"/>
      <c r="L52" s="482"/>
      <c r="M52" s="404">
        <f>SUM(M50:M51)</f>
        <v>574121.77639000001</v>
      </c>
      <c r="O52" s="94"/>
      <c r="P52" s="592">
        <v>0</v>
      </c>
      <c r="Q52" s="592">
        <v>0</v>
      </c>
      <c r="R52" s="592">
        <v>5309134</v>
      </c>
      <c r="S52" s="592">
        <f>SUM(P52:R52)</f>
        <v>5309134</v>
      </c>
    </row>
    <row r="53" spans="1:19" s="58" customFormat="1" ht="13.8" hidden="1" thickTop="1">
      <c r="A53" s="474"/>
      <c r="B53" s="400"/>
      <c r="C53" s="400"/>
      <c r="D53" s="401"/>
      <c r="E53" s="402"/>
      <c r="F53" s="481"/>
      <c r="G53" s="465"/>
      <c r="H53" s="482"/>
      <c r="I53" s="466"/>
      <c r="J53" s="481"/>
      <c r="K53" s="466"/>
      <c r="L53" s="482"/>
      <c r="M53" s="482"/>
      <c r="O53" s="94"/>
      <c r="P53" s="593"/>
      <c r="Q53" s="594"/>
      <c r="R53" s="593"/>
      <c r="S53" s="595">
        <f>ROUND(S52/1000,0)</f>
        <v>5309</v>
      </c>
    </row>
    <row r="54" spans="1:19" s="58" customFormat="1" ht="14.1" customHeight="1" thickTop="1">
      <c r="A54" s="484"/>
      <c r="B54" s="400"/>
      <c r="C54" s="400"/>
      <c r="D54" s="401"/>
      <c r="E54" s="402"/>
      <c r="F54" s="481"/>
      <c r="G54" s="465"/>
      <c r="H54" s="482"/>
      <c r="I54" s="466"/>
      <c r="J54" s="481"/>
      <c r="K54" s="466"/>
      <c r="L54" s="482"/>
      <c r="M54" s="802"/>
      <c r="O54" s="94"/>
    </row>
    <row r="55" spans="1:19" s="58" customFormat="1" ht="14.1" customHeight="1">
      <c r="A55" s="485" t="s">
        <v>300</v>
      </c>
      <c r="B55" s="400"/>
      <c r="C55" s="400"/>
      <c r="D55" s="401"/>
      <c r="E55" s="402"/>
      <c r="F55" s="824">
        <v>0</v>
      </c>
      <c r="G55" s="465"/>
      <c r="H55" s="826">
        <v>0</v>
      </c>
      <c r="I55" s="466"/>
      <c r="J55" s="481"/>
      <c r="K55" s="466"/>
      <c r="L55" s="482"/>
      <c r="M55" s="482">
        <v>0</v>
      </c>
      <c r="N55" s="486" t="e">
        <f>F14+#REF!+#REF!</f>
        <v>#REF!</v>
      </c>
      <c r="O55" s="94"/>
      <c r="Q55" s="486">
        <f>Q52/1000</f>
        <v>0</v>
      </c>
      <c r="S55" s="486">
        <f>S52/1000</f>
        <v>5309.134</v>
      </c>
    </row>
    <row r="56" spans="1:19" s="58" customFormat="1" ht="14.1" customHeight="1">
      <c r="A56" s="485" t="s">
        <v>110</v>
      </c>
      <c r="B56" s="400"/>
      <c r="C56" s="400"/>
      <c r="D56" s="401"/>
      <c r="E56" s="402"/>
      <c r="F56" s="825">
        <f>ROUND(F57-F55,0)</f>
        <v>884273</v>
      </c>
      <c r="G56" s="465"/>
      <c r="H56" s="827">
        <f>H57-H55</f>
        <v>170272</v>
      </c>
      <c r="I56" s="466"/>
      <c r="J56" s="481"/>
      <c r="K56" s="466"/>
      <c r="L56" s="482"/>
      <c r="M56" s="482">
        <f>M52</f>
        <v>574121.77639000001</v>
      </c>
      <c r="O56" s="94"/>
    </row>
    <row r="57" spans="1:19" s="58" customFormat="1" ht="14.1" customHeight="1" thickBot="1">
      <c r="A57" s="487"/>
      <c r="B57" s="400"/>
      <c r="C57" s="400"/>
      <c r="D57" s="401"/>
      <c r="E57" s="402"/>
      <c r="F57" s="403">
        <f>F52</f>
        <v>884273</v>
      </c>
      <c r="G57" s="465"/>
      <c r="H57" s="404">
        <f>H52</f>
        <v>170272</v>
      </c>
      <c r="I57" s="466"/>
      <c r="J57" s="481"/>
      <c r="K57" s="466"/>
      <c r="L57" s="482"/>
      <c r="M57" s="404">
        <f>M52</f>
        <v>574121.77639000001</v>
      </c>
      <c r="O57" s="94"/>
      <c r="P57" s="58" t="s">
        <v>147</v>
      </c>
      <c r="Q57" s="94"/>
    </row>
    <row r="58" spans="1:19" s="58" customFormat="1" ht="14.1" customHeight="1" thickTop="1">
      <c r="A58" s="474"/>
      <c r="B58" s="400"/>
      <c r="C58" s="400"/>
      <c r="D58" s="401"/>
      <c r="E58" s="402"/>
      <c r="F58" s="481"/>
      <c r="G58" s="465"/>
      <c r="H58" s="482"/>
      <c r="I58" s="466"/>
      <c r="J58" s="481"/>
      <c r="K58" s="466"/>
      <c r="L58" s="481"/>
      <c r="M58" s="481"/>
      <c r="O58" s="94"/>
    </row>
    <row r="59" spans="1:19" ht="14.1" customHeight="1">
      <c r="A59" s="283" t="s">
        <v>325</v>
      </c>
      <c r="B59" s="115"/>
      <c r="C59" s="115"/>
      <c r="D59" s="213"/>
      <c r="E59" s="646">
        <f>'Notes 9-13'!$A$19</f>
        <v>12</v>
      </c>
      <c r="F59" s="488"/>
      <c r="G59" s="489"/>
      <c r="H59" s="126"/>
      <c r="I59" s="490"/>
      <c r="J59" s="126"/>
      <c r="K59" s="490"/>
      <c r="L59" s="126"/>
      <c r="N59" s="108"/>
    </row>
    <row r="60" spans="1:19" ht="14.1" customHeight="1">
      <c r="A60" s="189"/>
      <c r="B60" s="115"/>
      <c r="C60" s="115"/>
      <c r="D60" s="213"/>
      <c r="E60" s="213"/>
      <c r="F60" s="488"/>
      <c r="G60" s="489"/>
      <c r="H60" s="126"/>
      <c r="I60" s="490"/>
      <c r="J60" s="126"/>
      <c r="K60" s="490"/>
      <c r="L60" s="126"/>
      <c r="N60" s="108"/>
    </row>
    <row r="61" spans="1:19" ht="14.1" customHeight="1">
      <c r="A61" s="189"/>
      <c r="B61" s="115"/>
      <c r="C61" s="115"/>
      <c r="D61" s="213"/>
      <c r="E61" s="213"/>
      <c r="F61" s="488"/>
      <c r="G61" s="489"/>
      <c r="H61" s="126"/>
      <c r="I61" s="490"/>
      <c r="J61" s="126"/>
      <c r="K61" s="490"/>
      <c r="L61" s="126"/>
      <c r="N61" s="108"/>
    </row>
    <row r="62" spans="1:19" ht="14.1" customHeight="1">
      <c r="A62" s="115" t="str">
        <f>BS!A43</f>
        <v>The annexed notes 1 to 17 form an integral part of these condensed interim financial information.</v>
      </c>
      <c r="B62" s="115"/>
      <c r="C62" s="115"/>
      <c r="D62" s="213"/>
      <c r="E62" s="213"/>
      <c r="F62" s="410"/>
      <c r="G62" s="213"/>
      <c r="H62" s="377"/>
      <c r="I62" s="189"/>
      <c r="J62" s="377"/>
      <c r="K62" s="189"/>
      <c r="L62" s="377"/>
      <c r="N62" s="108">
        <f>+F52</f>
        <v>884273</v>
      </c>
    </row>
    <row r="63" spans="1:19" ht="14.1" customHeight="1">
      <c r="A63" s="115"/>
      <c r="B63" s="115"/>
      <c r="C63" s="115"/>
      <c r="D63" s="213"/>
      <c r="E63" s="213"/>
      <c r="F63" s="410"/>
      <c r="G63" s="213"/>
      <c r="H63" s="377"/>
      <c r="I63" s="189"/>
      <c r="J63" s="377"/>
      <c r="K63" s="189"/>
      <c r="L63" s="377"/>
      <c r="N63" s="108" t="e">
        <f>+'Notes 15-17 ( END )'!M7+'Notes 15-17 ( END )'!#REF!</f>
        <v>#REF!</v>
      </c>
    </row>
    <row r="64" spans="1:19" ht="14.1" customHeight="1">
      <c r="A64" s="1100"/>
      <c r="B64" s="1100"/>
      <c r="C64" s="1100"/>
      <c r="D64" s="1100"/>
      <c r="E64" s="1100"/>
      <c r="F64" s="1100"/>
      <c r="G64" s="1100"/>
      <c r="H64" s="1100"/>
      <c r="I64" s="1100"/>
      <c r="J64" s="1100"/>
      <c r="K64" s="1100"/>
      <c r="L64" s="1100"/>
      <c r="N64" s="108" t="e">
        <f>+N63-N62</f>
        <v>#REF!</v>
      </c>
    </row>
    <row r="65" spans="1:18" ht="14.1" customHeight="1">
      <c r="A65" s="1100" t="str">
        <f>BS!A46</f>
        <v>MCB-Arif Habib Savings and Investments Limited</v>
      </c>
      <c r="B65" s="1100"/>
      <c r="C65" s="1100"/>
      <c r="D65" s="1100"/>
      <c r="E65" s="1100"/>
      <c r="F65" s="1100"/>
      <c r="G65" s="1100"/>
      <c r="H65" s="1100"/>
      <c r="I65" s="1100"/>
      <c r="J65" s="1100"/>
      <c r="K65" s="1100"/>
      <c r="L65" s="1100"/>
      <c r="N65" s="108"/>
    </row>
    <row r="66" spans="1:18" ht="14.1" customHeight="1">
      <c r="A66" s="1100" t="str">
        <f>BS!A47</f>
        <v>(Management Company)</v>
      </c>
      <c r="B66" s="1100"/>
      <c r="C66" s="1100"/>
      <c r="D66" s="1100"/>
      <c r="E66" s="1100"/>
      <c r="F66" s="1100"/>
      <c r="G66" s="1100"/>
      <c r="H66" s="1100"/>
      <c r="I66" s="1100"/>
      <c r="J66" s="1100"/>
      <c r="K66" s="1100"/>
      <c r="L66" s="1100"/>
      <c r="N66" s="108"/>
    </row>
    <row r="67" spans="1:18" ht="14.1" customHeight="1">
      <c r="A67" s="649"/>
      <c r="B67" s="649"/>
      <c r="C67" s="649"/>
      <c r="D67" s="649"/>
      <c r="E67" s="213"/>
      <c r="F67" s="416"/>
      <c r="G67" s="649"/>
      <c r="H67" s="377"/>
      <c r="I67" s="283"/>
      <c r="J67" s="383"/>
      <c r="K67" s="283"/>
      <c r="L67" s="377"/>
    </row>
    <row r="68" spans="1:18" ht="14.1" customHeight="1">
      <c r="A68" s="649"/>
      <c r="B68" s="649"/>
      <c r="C68" s="649"/>
      <c r="D68" s="649"/>
      <c r="E68" s="213"/>
      <c r="F68" s="416"/>
      <c r="G68" s="649"/>
      <c r="H68" s="377"/>
      <c r="I68" s="283"/>
      <c r="J68" s="383"/>
      <c r="K68" s="283"/>
      <c r="L68" s="377"/>
    </row>
    <row r="69" spans="1:18" ht="14.1" customHeight="1">
      <c r="A69" s="649"/>
      <c r="B69" s="649"/>
      <c r="C69" s="649"/>
      <c r="D69" s="649"/>
      <c r="E69" s="213"/>
      <c r="F69" s="416"/>
      <c r="G69" s="649"/>
      <c r="H69" s="377"/>
      <c r="I69" s="283"/>
      <c r="J69" s="383"/>
      <c r="K69" s="283"/>
      <c r="L69" s="377"/>
    </row>
    <row r="70" spans="1:18" ht="14.1" customHeight="1">
      <c r="A70" s="649"/>
      <c r="B70" s="649"/>
      <c r="C70" s="649"/>
      <c r="D70" s="649"/>
      <c r="E70" s="213"/>
      <c r="F70" s="416"/>
      <c r="G70" s="649"/>
      <c r="H70" s="377"/>
      <c r="I70" s="283"/>
      <c r="J70" s="383"/>
      <c r="K70" s="283"/>
      <c r="L70" s="377"/>
    </row>
    <row r="71" spans="1:18" ht="14.1" customHeight="1">
      <c r="A71" s="649"/>
      <c r="B71" s="649"/>
      <c r="C71" s="649"/>
      <c r="D71" s="649"/>
      <c r="E71" s="213"/>
      <c r="F71" s="416"/>
      <c r="G71" s="649"/>
      <c r="H71" s="377"/>
      <c r="I71" s="283"/>
      <c r="J71" s="383"/>
      <c r="K71" s="283"/>
      <c r="L71" s="377"/>
    </row>
    <row r="72" spans="1:18" ht="14.1" customHeight="1">
      <c r="A72" s="1093" t="s">
        <v>340</v>
      </c>
      <c r="B72" s="1093"/>
      <c r="C72" s="670"/>
      <c r="D72" s="1096" t="s">
        <v>340</v>
      </c>
      <c r="E72" s="1096"/>
      <c r="F72" s="1096"/>
      <c r="G72" s="649"/>
      <c r="H72" s="377"/>
      <c r="I72" s="283"/>
      <c r="J72" s="383"/>
      <c r="K72" s="671" t="s">
        <v>342</v>
      </c>
      <c r="L72" s="377"/>
    </row>
    <row r="73" spans="1:18" ht="14.1" customHeight="1">
      <c r="A73" s="1092" t="s">
        <v>345</v>
      </c>
      <c r="B73" s="1092"/>
      <c r="C73" s="120"/>
      <c r="D73" s="1092" t="s">
        <v>341</v>
      </c>
      <c r="E73" s="1092"/>
      <c r="F73" s="1092"/>
      <c r="G73" s="125"/>
      <c r="H73" s="125"/>
      <c r="I73" s="125"/>
      <c r="J73" s="125"/>
      <c r="K73" s="647" t="s">
        <v>343</v>
      </c>
      <c r="L73" s="126"/>
    </row>
    <row r="74" spans="1:18">
      <c r="A74" s="608"/>
      <c r="B74" s="609"/>
      <c r="C74" s="608"/>
      <c r="D74" s="1103"/>
      <c r="E74" s="1103"/>
      <c r="F74" s="1103"/>
      <c r="G74" s="1103"/>
      <c r="H74" s="123"/>
      <c r="I74" s="123"/>
      <c r="J74" s="123"/>
      <c r="K74" s="123"/>
      <c r="L74" s="123"/>
    </row>
    <row r="77" spans="1:18" ht="13.8" thickBot="1"/>
    <row r="78" spans="1:18" ht="13.8" thickBot="1">
      <c r="N78" s="610" t="s">
        <v>103</v>
      </c>
      <c r="O78" s="610" t="s">
        <v>53</v>
      </c>
      <c r="P78" s="46" t="s">
        <v>104</v>
      </c>
      <c r="Q78" s="46" t="s">
        <v>105</v>
      </c>
      <c r="R78" s="46" t="s">
        <v>90</v>
      </c>
    </row>
    <row r="79" spans="1:18">
      <c r="M79" s="612">
        <v>43281</v>
      </c>
      <c r="P79" s="613">
        <f>+N79*0</f>
        <v>0</v>
      </c>
    </row>
    <row r="80" spans="1:18">
      <c r="M80" s="612">
        <v>43312</v>
      </c>
      <c r="N80" s="108">
        <v>-6023</v>
      </c>
      <c r="O80" s="108">
        <v>23927</v>
      </c>
      <c r="P80" s="613">
        <v>4929.1400000000003</v>
      </c>
      <c r="Q80" s="614">
        <v>2306139</v>
      </c>
    </row>
    <row r="81" spans="13:18">
      <c r="M81" s="612">
        <v>43343</v>
      </c>
      <c r="N81" s="108">
        <v>-9284</v>
      </c>
      <c r="O81" s="108">
        <v>33075</v>
      </c>
      <c r="P81" s="613">
        <f t="shared" ref="P81:P85" si="3">+N81*0</f>
        <v>0</v>
      </c>
      <c r="Q81" s="614">
        <v>2120823</v>
      </c>
    </row>
    <row r="82" spans="13:18">
      <c r="M82" s="612">
        <v>43373</v>
      </c>
      <c r="N82" s="108">
        <v>4213</v>
      </c>
      <c r="O82" s="108">
        <v>39893</v>
      </c>
      <c r="P82" s="615">
        <f t="shared" si="3"/>
        <v>0</v>
      </c>
      <c r="Q82" s="614"/>
      <c r="R82" s="108">
        <v>1674087.2389866614</v>
      </c>
    </row>
    <row r="83" spans="13:18">
      <c r="M83" s="612">
        <v>43404</v>
      </c>
      <c r="N83" s="108">
        <v>1409</v>
      </c>
      <c r="O83" s="108">
        <v>15674</v>
      </c>
      <c r="P83" s="613">
        <f t="shared" si="3"/>
        <v>0</v>
      </c>
      <c r="Q83" s="614">
        <v>1773401</v>
      </c>
      <c r="R83" s="108"/>
    </row>
    <row r="84" spans="13:18">
      <c r="M84" s="612">
        <v>43434</v>
      </c>
      <c r="N84" s="108">
        <v>-1554</v>
      </c>
      <c r="O84" s="108">
        <v>9875</v>
      </c>
      <c r="P84" s="613">
        <f t="shared" si="3"/>
        <v>0</v>
      </c>
      <c r="Q84" s="616">
        <v>1778001</v>
      </c>
      <c r="R84" s="108"/>
    </row>
    <row r="85" spans="13:18">
      <c r="M85" s="612">
        <v>43465</v>
      </c>
      <c r="N85" s="108">
        <v>-9282</v>
      </c>
      <c r="O85" s="108">
        <v>4797</v>
      </c>
      <c r="P85" s="615">
        <f t="shared" si="3"/>
        <v>0</v>
      </c>
      <c r="Q85" s="616"/>
      <c r="R85" s="108">
        <v>1585004</v>
      </c>
    </row>
    <row r="86" spans="13:18" ht="13.8" thickBot="1">
      <c r="N86" s="611">
        <f>SUM(N80:N85)</f>
        <v>-20521</v>
      </c>
      <c r="O86" s="611">
        <f>SUM(O80:O85)</f>
        <v>127241</v>
      </c>
      <c r="P86" s="611">
        <f>SUM(P80:P85)</f>
        <v>4929.1400000000003</v>
      </c>
      <c r="Q86" s="611">
        <f>SUM(Q80:Q85)</f>
        <v>7978364</v>
      </c>
      <c r="R86" s="611">
        <f>SUM(R80:R85)</f>
        <v>3259091.2389866617</v>
      </c>
    </row>
    <row r="87" spans="13:18" ht="13.8" thickTop="1">
      <c r="N87" s="82">
        <f>N86+O86</f>
        <v>106720</v>
      </c>
      <c r="O87" s="70">
        <f>N87/1000</f>
        <v>106.72</v>
      </c>
    </row>
  </sheetData>
  <mergeCells count="15">
    <mergeCell ref="A73:B73"/>
    <mergeCell ref="D72:F72"/>
    <mergeCell ref="D73:F73"/>
    <mergeCell ref="D74:G74"/>
    <mergeCell ref="A65:L65"/>
    <mergeCell ref="A66:L66"/>
    <mergeCell ref="A72:B72"/>
    <mergeCell ref="F6:H6"/>
    <mergeCell ref="J6:L6"/>
    <mergeCell ref="F7:H7"/>
    <mergeCell ref="J7:L7"/>
    <mergeCell ref="A64:L64"/>
    <mergeCell ref="A23:D23"/>
    <mergeCell ref="F9:L9"/>
    <mergeCell ref="A24:D24"/>
  </mergeCells>
  <pageMargins left="0.75" right="0.5" top="0.75" bottom="0.5" header="0.4" footer="0.2"/>
  <pageSetup paperSize="9" scale="70" orientation="portrait" r:id="rId1"/>
  <headerFooter alignWithMargins="0"/>
  <ignoredErrors>
    <ignoredError sqref="A45:M46 B47:M47 A62:M64 B49:M49 A50:E50 A53:I54 A51:E51 G51 A57:I58 A56:E56 G56:I56 G50:I50 M66 B65:M65 A55:G55 I55 M55 M52:M54 M57:M58 M56 M50 I51 B52:I52" unlockedFormula="1"/>
    <ignoredError sqref="F18" evalError="1"/>
    <ignoredError sqref="J3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T134"/>
  <sheetViews>
    <sheetView showGridLines="0" view="pageBreakPreview" zoomScaleNormal="100" zoomScaleSheetLayoutView="100" workbookViewId="0">
      <selection activeCell="F16" sqref="F16"/>
    </sheetView>
  </sheetViews>
  <sheetFormatPr defaultColWidth="9.109375" defaultRowHeight="13.2"/>
  <cols>
    <col min="1" max="1" width="9.109375" style="1"/>
    <col min="2" max="2" width="14.44140625" style="1" customWidth="1"/>
    <col min="3" max="3" width="12.5546875" style="1" customWidth="1"/>
    <col min="4" max="4" width="16" style="1" customWidth="1"/>
    <col min="5" max="5" width="3.109375" style="3" customWidth="1"/>
    <col min="6" max="6" width="11.109375" style="1" bestFit="1" customWidth="1"/>
    <col min="7" max="7" width="1.109375" style="1" customWidth="1"/>
    <col min="8" max="8" width="10.88671875" style="1" customWidth="1"/>
    <col min="9" max="9" width="1.109375" style="1" customWidth="1"/>
    <col min="10" max="10" width="10.88671875" style="1" customWidth="1"/>
    <col min="11" max="11" width="1.109375" style="1" customWidth="1"/>
    <col min="12" max="12" width="10.88671875" style="1" customWidth="1"/>
    <col min="13" max="13" width="10.44140625" style="1" bestFit="1" customWidth="1"/>
    <col min="14" max="14" width="8.44140625" style="1" bestFit="1" customWidth="1"/>
    <col min="15" max="15" width="16.109375" style="1" hidden="1" customWidth="1"/>
    <col min="16" max="16" width="11.88671875" style="1" hidden="1" customWidth="1"/>
    <col min="17" max="20" width="0" style="1" hidden="1" customWidth="1"/>
    <col min="21" max="16384" width="9.109375" style="1"/>
  </cols>
  <sheetData>
    <row r="1" spans="1:17" s="596" customFormat="1" ht="20.399999999999999">
      <c r="A1" s="640" t="str">
        <f>IS!A1</f>
        <v xml:space="preserve">Alhamra Islamic Money Market Fund </v>
      </c>
      <c r="B1" s="597"/>
      <c r="C1" s="597"/>
      <c r="D1" s="597"/>
      <c r="E1" s="598"/>
      <c r="F1" s="599"/>
      <c r="G1" s="600"/>
      <c r="H1" s="601"/>
      <c r="I1" s="600"/>
      <c r="J1" s="601"/>
      <c r="K1" s="600"/>
      <c r="L1" s="601"/>
    </row>
    <row r="2" spans="1:17" s="596" customFormat="1" ht="17.399999999999999">
      <c r="A2" s="641" t="s">
        <v>301</v>
      </c>
      <c r="B2" s="597"/>
      <c r="C2" s="597"/>
      <c r="D2" s="597"/>
      <c r="E2" s="598"/>
      <c r="F2" s="599"/>
      <c r="G2" s="600"/>
      <c r="H2" s="601"/>
      <c r="I2" s="600"/>
      <c r="J2" s="601"/>
      <c r="K2" s="600"/>
      <c r="L2" s="601"/>
    </row>
    <row r="3" spans="1:17" s="596" customFormat="1" ht="15.6">
      <c r="A3" s="642" t="s">
        <v>507</v>
      </c>
      <c r="B3" s="597"/>
      <c r="C3" s="597"/>
      <c r="D3" s="597"/>
      <c r="E3" s="598"/>
      <c r="F3" s="599"/>
      <c r="G3" s="600"/>
      <c r="H3" s="601"/>
      <c r="I3" s="600"/>
      <c r="J3" s="601"/>
      <c r="K3" s="600"/>
      <c r="L3" s="601"/>
    </row>
    <row r="4" spans="1:17" s="46" customFormat="1" ht="14.1" customHeight="1">
      <c r="A4" s="376"/>
      <c r="B4" s="372"/>
      <c r="C4" s="372"/>
      <c r="D4" s="372"/>
      <c r="E4" s="373"/>
      <c r="F4" s="374"/>
      <c r="G4" s="313"/>
      <c r="H4" s="375"/>
      <c r="I4" s="313"/>
      <c r="J4" s="375"/>
      <c r="K4" s="313"/>
      <c r="L4" s="375"/>
    </row>
    <row r="5" spans="1:17" s="46" customFormat="1" ht="14.1" customHeight="1">
      <c r="A5" s="376"/>
      <c r="B5" s="372"/>
      <c r="C5" s="372"/>
      <c r="D5" s="372"/>
      <c r="E5" s="373"/>
      <c r="F5" s="374"/>
      <c r="G5" s="313"/>
      <c r="H5" s="375"/>
      <c r="I5" s="313"/>
      <c r="J5" s="375"/>
      <c r="K5" s="313"/>
      <c r="L5" s="375"/>
    </row>
    <row r="6" spans="1:17" s="46" customFormat="1" ht="14.1" customHeight="1">
      <c r="A6" s="313"/>
      <c r="B6" s="313"/>
      <c r="C6" s="313"/>
      <c r="D6" s="313"/>
      <c r="E6" s="373"/>
      <c r="F6" s="375"/>
      <c r="G6" s="313"/>
      <c r="H6" s="377"/>
      <c r="I6" s="189"/>
      <c r="J6" s="377"/>
      <c r="K6" s="189"/>
      <c r="L6" s="377"/>
    </row>
    <row r="7" spans="1:17" s="46" customFormat="1" ht="14.1" customHeight="1">
      <c r="A7" s="313"/>
      <c r="B7" s="313"/>
      <c r="C7" s="313"/>
      <c r="D7" s="372"/>
      <c r="E7" s="116"/>
      <c r="F7" s="1104" t="str">
        <f>IS!F6</f>
        <v>Nine months ended</v>
      </c>
      <c r="G7" s="1104"/>
      <c r="H7" s="1104"/>
      <c r="I7" s="295"/>
      <c r="J7" s="1100" t="s">
        <v>11</v>
      </c>
      <c r="K7" s="1100"/>
      <c r="L7" s="1100"/>
    </row>
    <row r="8" spans="1:17" s="46" customFormat="1" ht="14.1" customHeight="1">
      <c r="A8" s="313"/>
      <c r="B8" s="313"/>
      <c r="C8" s="313"/>
      <c r="D8" s="372"/>
      <c r="E8" s="373"/>
      <c r="F8" s="1105" t="str">
        <f>IS!F7</f>
        <v>March 31,</v>
      </c>
      <c r="G8" s="1105"/>
      <c r="H8" s="1105"/>
      <c r="I8" s="189"/>
      <c r="J8" s="1105" t="str">
        <f>IS!J7</f>
        <v>March 31,</v>
      </c>
      <c r="K8" s="1105"/>
      <c r="L8" s="1105"/>
    </row>
    <row r="9" spans="1:17" s="46" customFormat="1" ht="14.1" customHeight="1">
      <c r="A9" s="313"/>
      <c r="B9" s="313"/>
      <c r="C9" s="313"/>
      <c r="D9" s="372"/>
      <c r="E9" s="373"/>
      <c r="F9" s="378">
        <v>2022</v>
      </c>
      <c r="G9" s="379"/>
      <c r="H9" s="380">
        <v>2021</v>
      </c>
      <c r="I9" s="381"/>
      <c r="J9" s="378">
        <f>F9</f>
        <v>2022</v>
      </c>
      <c r="K9" s="379"/>
      <c r="L9" s="380">
        <f>H9</f>
        <v>2021</v>
      </c>
      <c r="M9" s="382">
        <v>43738</v>
      </c>
    </row>
    <row r="10" spans="1:17" s="46" customFormat="1" ht="14.1" customHeight="1">
      <c r="A10" s="115"/>
      <c r="B10" s="313"/>
      <c r="C10" s="313"/>
      <c r="D10" s="383"/>
      <c r="E10" s="204"/>
      <c r="F10" s="1102" t="s">
        <v>62</v>
      </c>
      <c r="G10" s="1102"/>
      <c r="H10" s="1102"/>
      <c r="I10" s="672"/>
      <c r="J10" s="1102" t="s">
        <v>62</v>
      </c>
      <c r="K10" s="1102"/>
      <c r="L10" s="1102"/>
      <c r="M10" s="384"/>
    </row>
    <row r="11" spans="1:17" s="46" customFormat="1" ht="14.1" customHeight="1">
      <c r="A11" s="385"/>
      <c r="B11" s="386"/>
      <c r="C11" s="386"/>
      <c r="D11" s="387"/>
      <c r="E11" s="388"/>
      <c r="F11" s="389"/>
      <c r="G11" s="388"/>
      <c r="H11" s="390"/>
      <c r="I11" s="391"/>
      <c r="J11" s="390"/>
      <c r="K11" s="391"/>
      <c r="L11" s="390"/>
      <c r="M11" s="377"/>
      <c r="O11" s="81"/>
      <c r="P11" s="81"/>
      <c r="Q11" s="81"/>
    </row>
    <row r="12" spans="1:17" s="46" customFormat="1" ht="14.1" customHeight="1">
      <c r="A12" s="392" t="s">
        <v>76</v>
      </c>
      <c r="B12" s="386"/>
      <c r="C12" s="386"/>
      <c r="D12" s="387"/>
      <c r="E12" s="388"/>
      <c r="F12" s="393">
        <f>IS!F47</f>
        <v>884272.75251000002</v>
      </c>
      <c r="G12" s="394"/>
      <c r="H12" s="395">
        <f>IS!H47</f>
        <v>175581</v>
      </c>
      <c r="I12" s="396"/>
      <c r="J12" s="393">
        <f>F12-M12+0.5</f>
        <v>304842.47612000001</v>
      </c>
      <c r="K12" s="396"/>
      <c r="L12" s="395">
        <f>IS!L47</f>
        <v>153897</v>
      </c>
      <c r="M12" s="397">
        <f>+IS!M47</f>
        <v>579430.77639000001</v>
      </c>
      <c r="N12" s="82"/>
      <c r="O12" s="117"/>
      <c r="P12" s="117"/>
      <c r="Q12" s="81"/>
    </row>
    <row r="13" spans="1:17" s="46" customFormat="1" ht="14.1" customHeight="1">
      <c r="A13" s="385"/>
      <c r="B13" s="386"/>
      <c r="C13" s="386"/>
      <c r="D13" s="387"/>
      <c r="E13" s="388"/>
      <c r="F13" s="393"/>
      <c r="G13" s="388"/>
      <c r="H13" s="395"/>
      <c r="I13" s="391"/>
      <c r="J13" s="393"/>
      <c r="K13" s="391"/>
      <c r="L13" s="395"/>
      <c r="M13" s="398"/>
      <c r="O13" s="117"/>
      <c r="P13" s="117"/>
      <c r="Q13" s="81"/>
    </row>
    <row r="14" spans="1:17" s="46" customFormat="1" ht="14.1" customHeight="1">
      <c r="A14" s="385" t="s">
        <v>495</v>
      </c>
      <c r="B14" s="386"/>
      <c r="C14" s="386"/>
      <c r="D14" s="387"/>
      <c r="E14" s="388"/>
      <c r="F14" s="393">
        <v>0</v>
      </c>
      <c r="G14" s="388"/>
      <c r="H14" s="395">
        <v>0</v>
      </c>
      <c r="I14" s="391"/>
      <c r="J14" s="393">
        <v>0</v>
      </c>
      <c r="K14" s="391"/>
      <c r="L14" s="395">
        <v>0</v>
      </c>
      <c r="M14" s="398"/>
      <c r="O14" s="117"/>
      <c r="P14" s="117"/>
      <c r="Q14" s="81"/>
    </row>
    <row r="15" spans="1:17" s="46" customFormat="1" ht="14.1" customHeight="1">
      <c r="A15" s="385"/>
      <c r="B15" s="386"/>
      <c r="C15" s="386"/>
      <c r="D15" s="387"/>
      <c r="E15" s="388"/>
      <c r="F15" s="393"/>
      <c r="G15" s="388"/>
      <c r="H15" s="395"/>
      <c r="I15" s="391"/>
      <c r="J15" s="393"/>
      <c r="K15" s="391"/>
      <c r="L15" s="395"/>
      <c r="M15" s="126"/>
      <c r="O15" s="81"/>
      <c r="P15" s="81"/>
      <c r="Q15" s="81"/>
    </row>
    <row r="16" spans="1:17" s="58" customFormat="1" ht="14.1" customHeight="1" thickBot="1">
      <c r="A16" s="399" t="s">
        <v>22</v>
      </c>
      <c r="B16" s="400"/>
      <c r="C16" s="400"/>
      <c r="D16" s="401"/>
      <c r="E16" s="402"/>
      <c r="F16" s="403">
        <f>F12+F14</f>
        <v>884272.75251000002</v>
      </c>
      <c r="G16" s="402"/>
      <c r="H16" s="404">
        <f>H12+H14</f>
        <v>175581</v>
      </c>
      <c r="I16" s="405"/>
      <c r="J16" s="403">
        <f>J12+J14</f>
        <v>304842.47612000001</v>
      </c>
      <c r="K16" s="405"/>
      <c r="L16" s="404">
        <f>L12+L14</f>
        <v>153897</v>
      </c>
      <c r="M16" s="403">
        <f>M12+M14</f>
        <v>579430.77639000001</v>
      </c>
      <c r="O16" s="96"/>
      <c r="P16" s="96"/>
      <c r="Q16" s="96"/>
    </row>
    <row r="17" spans="1:17" s="46" customFormat="1" ht="14.1" customHeight="1" thickTop="1">
      <c r="A17" s="385"/>
      <c r="B17" s="386"/>
      <c r="C17" s="386"/>
      <c r="D17" s="387"/>
      <c r="E17" s="388"/>
      <c r="F17" s="393"/>
      <c r="G17" s="388"/>
      <c r="H17" s="395"/>
      <c r="I17" s="391"/>
      <c r="J17" s="393"/>
      <c r="K17" s="391"/>
      <c r="L17" s="395"/>
      <c r="M17" s="398"/>
      <c r="O17" s="81"/>
      <c r="P17" s="81"/>
      <c r="Q17" s="81"/>
    </row>
    <row r="18" spans="1:17" s="46" customFormat="1" ht="14.1" customHeight="1">
      <c r="A18" s="406"/>
      <c r="B18" s="386"/>
      <c r="C18" s="386"/>
      <c r="D18" s="387"/>
      <c r="E18" s="407"/>
      <c r="F18" s="408"/>
      <c r="G18" s="408"/>
      <c r="H18" s="408"/>
      <c r="I18" s="408"/>
      <c r="J18" s="408"/>
      <c r="K18" s="409"/>
      <c r="L18" s="408"/>
      <c r="M18" s="81"/>
      <c r="O18" s="117"/>
      <c r="P18" s="81"/>
      <c r="Q18" s="81"/>
    </row>
    <row r="19" spans="1:17" s="46" customFormat="1" ht="14.1" customHeight="1">
      <c r="A19" s="115" t="str">
        <f>BS!A43</f>
        <v>The annexed notes 1 to 17 form an integral part of these condensed interim financial information.</v>
      </c>
      <c r="B19" s="115"/>
      <c r="C19" s="115"/>
      <c r="D19" s="213"/>
      <c r="E19" s="213"/>
      <c r="F19" s="410"/>
      <c r="G19" s="213"/>
      <c r="H19" s="377"/>
      <c r="I19" s="189"/>
      <c r="J19" s="377"/>
      <c r="K19" s="189"/>
      <c r="L19" s="377"/>
      <c r="M19" s="412"/>
      <c r="N19" s="82"/>
      <c r="O19" s="413"/>
      <c r="P19" s="414"/>
      <c r="Q19" s="415"/>
    </row>
    <row r="20" spans="1:17" s="46" customFormat="1" ht="14.1" customHeight="1">
      <c r="A20" s="115"/>
      <c r="B20" s="115"/>
      <c r="C20" s="115"/>
      <c r="D20" s="213"/>
      <c r="E20" s="213"/>
      <c r="F20" s="410"/>
      <c r="G20" s="213"/>
      <c r="H20" s="377"/>
      <c r="I20" s="189"/>
      <c r="J20" s="377"/>
      <c r="K20" s="189"/>
      <c r="L20" s="377"/>
      <c r="M20" s="398"/>
      <c r="O20" s="81"/>
      <c r="P20" s="81"/>
      <c r="Q20" s="81"/>
    </row>
    <row r="21" spans="1:17" s="46" customFormat="1" ht="14.1" customHeight="1">
      <c r="A21" s="115"/>
      <c r="B21" s="115"/>
      <c r="C21" s="115"/>
      <c r="D21" s="213"/>
      <c r="E21" s="213"/>
      <c r="F21" s="410"/>
      <c r="G21" s="213"/>
      <c r="H21" s="377"/>
      <c r="I21" s="189"/>
      <c r="J21" s="377"/>
      <c r="K21" s="189"/>
      <c r="L21" s="377"/>
      <c r="M21" s="398"/>
      <c r="O21" s="81"/>
      <c r="P21" s="81"/>
      <c r="Q21" s="81"/>
    </row>
    <row r="22" spans="1:17" s="46" customFormat="1" ht="14.1" customHeight="1">
      <c r="A22" s="1100" t="str">
        <f>IS!A65</f>
        <v>MCB-Arif Habib Savings and Investments Limited</v>
      </c>
      <c r="B22" s="1100"/>
      <c r="C22" s="1100"/>
      <c r="D22" s="1100"/>
      <c r="E22" s="1100"/>
      <c r="F22" s="1100"/>
      <c r="G22" s="1100"/>
      <c r="H22" s="1100"/>
      <c r="I22" s="1100"/>
      <c r="J22" s="1100"/>
      <c r="K22" s="1100"/>
      <c r="L22" s="1100"/>
      <c r="M22" s="398"/>
      <c r="N22" s="82"/>
      <c r="O22" s="81"/>
      <c r="P22" s="81"/>
      <c r="Q22" s="81"/>
    </row>
    <row r="23" spans="1:17" s="46" customFormat="1" ht="14.1" customHeight="1">
      <c r="A23" s="1100" t="str">
        <f>IS!A66</f>
        <v>(Management Company)</v>
      </c>
      <c r="B23" s="1100"/>
      <c r="C23" s="1100"/>
      <c r="D23" s="1100"/>
      <c r="E23" s="1100"/>
      <c r="F23" s="1100"/>
      <c r="G23" s="1100"/>
      <c r="H23" s="1100"/>
      <c r="I23" s="1100"/>
      <c r="J23" s="1100"/>
      <c r="K23" s="1100"/>
      <c r="L23" s="1100"/>
      <c r="M23" s="398"/>
      <c r="N23" s="82"/>
      <c r="O23" s="81"/>
      <c r="P23" s="81"/>
      <c r="Q23" s="81"/>
    </row>
    <row r="24" spans="1:17" s="420" customFormat="1" ht="14.1" customHeight="1">
      <c r="A24" s="204"/>
      <c r="B24" s="204"/>
      <c r="C24" s="204"/>
      <c r="D24" s="204"/>
      <c r="E24" s="213"/>
      <c r="F24" s="416"/>
      <c r="G24" s="204"/>
      <c r="H24" s="377"/>
      <c r="I24" s="283"/>
      <c r="J24" s="383"/>
      <c r="K24" s="283"/>
      <c r="L24" s="377"/>
      <c r="M24" s="417"/>
      <c r="N24" s="418"/>
      <c r="O24" s="419"/>
      <c r="P24" s="419"/>
      <c r="Q24" s="419"/>
    </row>
    <row r="25" spans="1:17" s="420" customFormat="1" ht="14.1" customHeight="1">
      <c r="A25" s="204"/>
      <c r="B25" s="204"/>
      <c r="C25" s="204"/>
      <c r="D25" s="204"/>
      <c r="E25" s="213"/>
      <c r="F25" s="416"/>
      <c r="G25" s="204"/>
      <c r="H25" s="377"/>
      <c r="I25" s="283"/>
      <c r="J25" s="383"/>
      <c r="K25" s="283"/>
      <c r="L25" s="377"/>
      <c r="M25" s="417"/>
      <c r="N25" s="418"/>
      <c r="O25" s="419"/>
      <c r="P25" s="419"/>
      <c r="Q25" s="419"/>
    </row>
    <row r="26" spans="1:17" s="420" customFormat="1" ht="14.1" customHeight="1">
      <c r="A26" s="204"/>
      <c r="B26" s="204"/>
      <c r="C26" s="204"/>
      <c r="D26" s="204"/>
      <c r="E26" s="213"/>
      <c r="F26" s="416"/>
      <c r="G26" s="204"/>
      <c r="H26" s="377"/>
      <c r="I26" s="283"/>
      <c r="J26" s="383"/>
      <c r="K26" s="283"/>
      <c r="L26" s="377"/>
      <c r="M26" s="417"/>
      <c r="N26" s="418"/>
      <c r="O26" s="419"/>
      <c r="P26" s="419"/>
      <c r="Q26" s="419"/>
    </row>
    <row r="27" spans="1:17" s="420" customFormat="1" ht="14.1" customHeight="1">
      <c r="A27" s="204"/>
      <c r="B27" s="204"/>
      <c r="C27" s="204"/>
      <c r="D27" s="204"/>
      <c r="E27" s="213"/>
      <c r="F27" s="416"/>
      <c r="G27" s="204"/>
      <c r="H27" s="377"/>
      <c r="I27" s="283"/>
      <c r="J27" s="383"/>
      <c r="K27" s="283"/>
      <c r="L27" s="377"/>
      <c r="M27" s="417"/>
      <c r="N27" s="418"/>
      <c r="O27" s="421"/>
      <c r="P27" s="421"/>
      <c r="Q27" s="421"/>
    </row>
    <row r="28" spans="1:17" s="420" customFormat="1" ht="14.1" customHeight="1">
      <c r="A28" s="204"/>
      <c r="B28" s="204"/>
      <c r="C28" s="204"/>
      <c r="D28" s="204"/>
      <c r="E28" s="213"/>
      <c r="F28" s="416"/>
      <c r="G28" s="204"/>
      <c r="H28" s="377"/>
      <c r="I28" s="283"/>
      <c r="J28" s="383"/>
      <c r="K28" s="283"/>
      <c r="L28" s="377"/>
      <c r="M28" s="417"/>
      <c r="N28" s="418"/>
      <c r="O28" s="421"/>
      <c r="P28" s="421"/>
      <c r="Q28" s="421"/>
    </row>
    <row r="29" spans="1:17" s="46" customFormat="1" ht="14.1" customHeight="1">
      <c r="A29" s="204"/>
      <c r="B29" s="204"/>
      <c r="C29" s="204"/>
      <c r="D29" s="204"/>
      <c r="E29" s="213"/>
      <c r="F29" s="416"/>
      <c r="G29" s="204"/>
      <c r="H29" s="377"/>
      <c r="I29" s="283"/>
      <c r="J29" s="383"/>
      <c r="K29" s="283"/>
      <c r="L29" s="377"/>
      <c r="M29" s="398"/>
      <c r="N29" s="82"/>
    </row>
    <row r="30" spans="1:17" s="46" customFormat="1" ht="14.1" customHeight="1">
      <c r="A30" s="1093" t="s">
        <v>340</v>
      </c>
      <c r="B30" s="1093"/>
      <c r="C30" s="124"/>
      <c r="D30" s="1096" t="s">
        <v>340</v>
      </c>
      <c r="E30" s="1096"/>
      <c r="F30" s="1096"/>
      <c r="G30" s="125"/>
      <c r="H30" s="125"/>
      <c r="I30" s="125"/>
      <c r="J30" s="125"/>
      <c r="K30" s="671" t="s">
        <v>342</v>
      </c>
      <c r="L30" s="126"/>
      <c r="M30" s="398"/>
      <c r="N30" s="82"/>
      <c r="O30" s="70"/>
    </row>
    <row r="31" spans="1:17" s="46" customFormat="1" ht="14.1" customHeight="1">
      <c r="A31" s="1092" t="s">
        <v>345</v>
      </c>
      <c r="B31" s="1092"/>
      <c r="C31" s="368"/>
      <c r="D31" s="1092" t="s">
        <v>341</v>
      </c>
      <c r="E31" s="1092"/>
      <c r="F31" s="1092"/>
      <c r="G31" s="123"/>
      <c r="H31" s="423"/>
      <c r="I31" s="424"/>
      <c r="J31" s="368"/>
      <c r="K31" s="647" t="s">
        <v>343</v>
      </c>
      <c r="L31" s="423"/>
      <c r="M31" s="398"/>
      <c r="N31" s="82"/>
      <c r="P31" s="425"/>
    </row>
    <row r="32" spans="1:17" s="46" customFormat="1">
      <c r="E32" s="116"/>
      <c r="M32" s="398"/>
      <c r="N32" s="82"/>
    </row>
    <row r="33" spans="5:20" s="46" customFormat="1">
      <c r="E33" s="116"/>
      <c r="M33" s="398"/>
      <c r="N33" s="82"/>
    </row>
    <row r="34" spans="5:20" s="46" customFormat="1">
      <c r="E34" s="116"/>
      <c r="M34" s="398"/>
      <c r="N34" s="82"/>
      <c r="O34" s="85">
        <v>150</v>
      </c>
      <c r="P34" s="426">
        <v>5</v>
      </c>
      <c r="Q34" s="427">
        <v>65</v>
      </c>
      <c r="R34" s="46">
        <f>SUM(O34:Q34)</f>
        <v>220</v>
      </c>
    </row>
    <row r="35" spans="5:20" s="46" customFormat="1">
      <c r="E35" s="116"/>
      <c r="M35" s="398"/>
      <c r="N35" s="82"/>
    </row>
    <row r="36" spans="5:20" s="46" customFormat="1">
      <c r="E36" s="116"/>
      <c r="M36" s="398"/>
      <c r="N36" s="82"/>
      <c r="P36" s="46">
        <v>80311</v>
      </c>
      <c r="Q36" s="428">
        <f>P36/1000</f>
        <v>80.311000000000007</v>
      </c>
      <c r="R36" s="46">
        <v>45493</v>
      </c>
      <c r="S36" s="98">
        <f>R36/1000</f>
        <v>45.493000000000002</v>
      </c>
    </row>
    <row r="37" spans="5:20" s="46" customFormat="1" hidden="1">
      <c r="E37" s="116"/>
      <c r="M37" s="398"/>
      <c r="N37" s="82"/>
    </row>
    <row r="38" spans="5:20" s="46" customFormat="1">
      <c r="E38" s="116"/>
      <c r="M38" s="398"/>
      <c r="N38" s="82"/>
    </row>
    <row r="39" spans="5:20" s="46" customFormat="1">
      <c r="E39" s="116"/>
      <c r="M39" s="398"/>
      <c r="N39" s="82"/>
    </row>
    <row r="40" spans="5:20" s="46" customFormat="1">
      <c r="E40" s="116"/>
      <c r="M40" s="398"/>
      <c r="N40" s="82"/>
      <c r="O40" s="98">
        <v>235</v>
      </c>
      <c r="P40" s="82">
        <f>N40+O40</f>
        <v>235</v>
      </c>
      <c r="S40" s="46">
        <v>39732</v>
      </c>
      <c r="T40" s="98">
        <f>S40/1000</f>
        <v>39.731999999999999</v>
      </c>
    </row>
    <row r="41" spans="5:20" s="46" customFormat="1" ht="13.8" thickBot="1">
      <c r="E41" s="116"/>
      <c r="M41" s="412"/>
      <c r="N41" s="82"/>
      <c r="O41" s="429">
        <f>29197383/1000</f>
        <v>29197.383000000002</v>
      </c>
      <c r="P41" s="429"/>
    </row>
    <row r="42" spans="5:20" s="46" customFormat="1" ht="7.5" customHeight="1" thickTop="1">
      <c r="E42" s="116"/>
      <c r="M42" s="412"/>
      <c r="O42" s="82"/>
    </row>
    <row r="43" spans="5:20" s="46" customFormat="1">
      <c r="E43" s="116"/>
      <c r="M43" s="412"/>
      <c r="N43" s="82"/>
    </row>
    <row r="44" spans="5:20" s="46" customFormat="1" ht="7.5" customHeight="1">
      <c r="E44" s="116"/>
      <c r="M44" s="412"/>
    </row>
    <row r="45" spans="5:20" s="46" customFormat="1">
      <c r="E45" s="116"/>
      <c r="M45" s="398"/>
    </row>
    <row r="46" spans="5:20" s="46" customFormat="1">
      <c r="E46" s="116"/>
      <c r="M46" s="81"/>
      <c r="O46" s="398"/>
    </row>
    <row r="47" spans="5:20" s="46" customFormat="1">
      <c r="E47" s="116"/>
      <c r="M47" s="398"/>
      <c r="N47" s="46">
        <v>2345</v>
      </c>
      <c r="O47" s="398"/>
    </row>
    <row r="48" spans="5:20" s="46" customFormat="1">
      <c r="E48" s="116"/>
      <c r="M48" s="398"/>
      <c r="N48" s="46">
        <v>637</v>
      </c>
      <c r="O48" s="398"/>
    </row>
    <row r="49" spans="5:15" s="46" customFormat="1">
      <c r="E49" s="116"/>
      <c r="M49" s="398"/>
      <c r="O49" s="398"/>
    </row>
    <row r="50" spans="5:15" s="46" customFormat="1">
      <c r="E50" s="116"/>
      <c r="M50" s="398"/>
    </row>
    <row r="51" spans="5:15" s="46" customFormat="1">
      <c r="E51" s="116"/>
      <c r="M51" s="398"/>
    </row>
    <row r="52" spans="5:15" s="46" customFormat="1">
      <c r="E52" s="116"/>
      <c r="M52" s="398"/>
      <c r="N52" s="82"/>
      <c r="O52" s="82"/>
    </row>
    <row r="53" spans="5:15" s="46" customFormat="1">
      <c r="E53" s="116"/>
      <c r="M53" s="398"/>
    </row>
    <row r="54" spans="5:15" s="46" customFormat="1">
      <c r="E54" s="116"/>
      <c r="M54" s="430"/>
    </row>
    <row r="55" spans="5:15" s="46" customFormat="1" ht="8.25" customHeight="1">
      <c r="E55" s="116"/>
      <c r="M55" s="81"/>
    </row>
    <row r="56" spans="5:15" s="46" customFormat="1">
      <c r="E56" s="116"/>
      <c r="M56" s="395"/>
      <c r="O56" s="82"/>
    </row>
    <row r="57" spans="5:15" s="46" customFormat="1">
      <c r="E57" s="116"/>
      <c r="M57" s="81"/>
    </row>
    <row r="58" spans="5:15" s="46" customFormat="1">
      <c r="E58" s="116"/>
      <c r="M58" s="81"/>
    </row>
    <row r="59" spans="5:15" s="46" customFormat="1">
      <c r="E59" s="116"/>
      <c r="M59" s="81"/>
    </row>
    <row r="60" spans="5:15" s="46" customFormat="1">
      <c r="E60" s="116"/>
      <c r="M60" s="81"/>
    </row>
    <row r="61" spans="5:15" s="46" customFormat="1">
      <c r="E61" s="116"/>
      <c r="M61" s="81"/>
    </row>
    <row r="62" spans="5:15" s="46" customFormat="1">
      <c r="E62" s="116"/>
      <c r="M62" s="81"/>
    </row>
    <row r="63" spans="5:15" s="46" customFormat="1">
      <c r="E63" s="116"/>
      <c r="M63" s="89"/>
    </row>
    <row r="64" spans="5:15" s="46" customFormat="1" ht="6" customHeight="1">
      <c r="E64" s="116"/>
      <c r="M64" s="81"/>
    </row>
    <row r="65" spans="5:15" s="46" customFormat="1" ht="18" customHeight="1">
      <c r="E65" s="116"/>
      <c r="M65" s="393"/>
      <c r="O65" s="82"/>
    </row>
    <row r="66" spans="5:15" s="46" customFormat="1">
      <c r="E66" s="116"/>
      <c r="M66" s="81"/>
    </row>
    <row r="67" spans="5:15" s="46" customFormat="1">
      <c r="E67" s="116"/>
      <c r="M67" s="81"/>
    </row>
    <row r="68" spans="5:15" s="46" customFormat="1">
      <c r="E68" s="116"/>
      <c r="M68" s="81"/>
    </row>
    <row r="69" spans="5:15" s="46" customFormat="1" ht="6.75" customHeight="1">
      <c r="E69" s="116"/>
      <c r="M69" s="81"/>
    </row>
    <row r="70" spans="5:15" s="46" customFormat="1">
      <c r="E70" s="116"/>
    </row>
    <row r="71" spans="5:15" s="46" customFormat="1">
      <c r="E71" s="116"/>
    </row>
    <row r="72" spans="5:15" s="46" customFormat="1">
      <c r="E72" s="116"/>
    </row>
    <row r="73" spans="5:15" s="46" customFormat="1">
      <c r="E73" s="116"/>
    </row>
    <row r="74" spans="5:15" s="46" customFormat="1">
      <c r="E74" s="116"/>
    </row>
    <row r="75" spans="5:15" s="46" customFormat="1">
      <c r="E75" s="116"/>
    </row>
    <row r="76" spans="5:15" s="46" customFormat="1">
      <c r="E76" s="116"/>
    </row>
    <row r="77" spans="5:15" s="46" customFormat="1">
      <c r="E77" s="116"/>
    </row>
    <row r="78" spans="5:15" s="46" customFormat="1">
      <c r="E78" s="116"/>
    </row>
    <row r="79" spans="5:15" s="46" customFormat="1">
      <c r="E79" s="116"/>
    </row>
    <row r="80" spans="5:15" s="46" customFormat="1">
      <c r="E80" s="116"/>
    </row>
    <row r="81" spans="5:5" s="46" customFormat="1">
      <c r="E81" s="116"/>
    </row>
    <row r="82" spans="5:5" s="46" customFormat="1">
      <c r="E82" s="116"/>
    </row>
    <row r="83" spans="5:5" s="46" customFormat="1">
      <c r="E83" s="116"/>
    </row>
    <row r="84" spans="5:5" s="46" customFormat="1">
      <c r="E84" s="116"/>
    </row>
    <row r="85" spans="5:5" s="46" customFormat="1">
      <c r="E85" s="116"/>
    </row>
    <row r="86" spans="5:5" s="46" customFormat="1">
      <c r="E86" s="116"/>
    </row>
    <row r="87" spans="5:5" s="46" customFormat="1">
      <c r="E87" s="116"/>
    </row>
    <row r="88" spans="5:5" s="46" customFormat="1">
      <c r="E88" s="116"/>
    </row>
    <row r="89" spans="5:5" s="46" customFormat="1">
      <c r="E89" s="116"/>
    </row>
    <row r="90" spans="5:5" s="46" customFormat="1">
      <c r="E90" s="116"/>
    </row>
    <row r="91" spans="5:5" s="46" customFormat="1">
      <c r="E91" s="116"/>
    </row>
    <row r="92" spans="5:5" s="46" customFormat="1">
      <c r="E92" s="116"/>
    </row>
    <row r="93" spans="5:5" s="46" customFormat="1">
      <c r="E93" s="116"/>
    </row>
    <row r="94" spans="5:5" s="46" customFormat="1">
      <c r="E94" s="116"/>
    </row>
    <row r="95" spans="5:5" s="46" customFormat="1">
      <c r="E95" s="116"/>
    </row>
    <row r="96" spans="5:5" s="46" customFormat="1">
      <c r="E96" s="116"/>
    </row>
    <row r="97" spans="5:5" s="46" customFormat="1">
      <c r="E97" s="116"/>
    </row>
    <row r="98" spans="5:5" s="46" customFormat="1">
      <c r="E98" s="116"/>
    </row>
    <row r="99" spans="5:5" s="46" customFormat="1">
      <c r="E99" s="116"/>
    </row>
    <row r="100" spans="5:5" s="46" customFormat="1">
      <c r="E100" s="116"/>
    </row>
    <row r="101" spans="5:5" s="46" customFormat="1">
      <c r="E101" s="116"/>
    </row>
    <row r="102" spans="5:5" s="46" customFormat="1">
      <c r="E102" s="116"/>
    </row>
    <row r="103" spans="5:5" s="46" customFormat="1">
      <c r="E103" s="116"/>
    </row>
    <row r="104" spans="5:5" s="46" customFormat="1">
      <c r="E104" s="116"/>
    </row>
    <row r="105" spans="5:5" s="46" customFormat="1">
      <c r="E105" s="116"/>
    </row>
    <row r="106" spans="5:5" s="46" customFormat="1">
      <c r="E106" s="116"/>
    </row>
    <row r="107" spans="5:5" s="46" customFormat="1">
      <c r="E107" s="116"/>
    </row>
    <row r="108" spans="5:5" s="46" customFormat="1">
      <c r="E108" s="116"/>
    </row>
    <row r="109" spans="5:5" s="46" customFormat="1">
      <c r="E109" s="116"/>
    </row>
    <row r="110" spans="5:5" s="46" customFormat="1">
      <c r="E110" s="116"/>
    </row>
    <row r="111" spans="5:5" s="46" customFormat="1">
      <c r="E111" s="116"/>
    </row>
    <row r="112" spans="5:5" s="46" customFormat="1">
      <c r="E112" s="116"/>
    </row>
    <row r="113" spans="5:5" s="46" customFormat="1">
      <c r="E113" s="116"/>
    </row>
    <row r="114" spans="5:5" s="46" customFormat="1">
      <c r="E114" s="116"/>
    </row>
    <row r="115" spans="5:5" s="46" customFormat="1">
      <c r="E115" s="116"/>
    </row>
    <row r="116" spans="5:5" s="46" customFormat="1">
      <c r="E116" s="116"/>
    </row>
    <row r="117" spans="5:5" s="46" customFormat="1">
      <c r="E117" s="116"/>
    </row>
    <row r="118" spans="5:5" s="46" customFormat="1">
      <c r="E118" s="116"/>
    </row>
    <row r="119" spans="5:5" s="46" customFormat="1">
      <c r="E119" s="116"/>
    </row>
    <row r="120" spans="5:5" s="46" customFormat="1">
      <c r="E120" s="116"/>
    </row>
    <row r="121" spans="5:5" s="46" customFormat="1">
      <c r="E121" s="116"/>
    </row>
    <row r="122" spans="5:5" s="46" customFormat="1">
      <c r="E122" s="116"/>
    </row>
    <row r="123" spans="5:5" s="46" customFormat="1">
      <c r="E123" s="116"/>
    </row>
    <row r="124" spans="5:5" s="46" customFormat="1">
      <c r="E124" s="116"/>
    </row>
    <row r="125" spans="5:5" s="46" customFormat="1">
      <c r="E125" s="116"/>
    </row>
    <row r="126" spans="5:5" s="46" customFormat="1">
      <c r="E126" s="116"/>
    </row>
    <row r="127" spans="5:5" s="46" customFormat="1">
      <c r="E127" s="116"/>
    </row>
    <row r="128" spans="5:5" s="46" customFormat="1">
      <c r="E128" s="116"/>
    </row>
    <row r="129" spans="5:5" s="46" customFormat="1">
      <c r="E129" s="116"/>
    </row>
    <row r="130" spans="5:5" s="46" customFormat="1">
      <c r="E130" s="116"/>
    </row>
    <row r="131" spans="5:5" s="46" customFormat="1">
      <c r="E131" s="116"/>
    </row>
    <row r="132" spans="5:5" s="46" customFormat="1">
      <c r="E132" s="116"/>
    </row>
    <row r="133" spans="5:5" s="46" customFormat="1">
      <c r="E133" s="116"/>
    </row>
    <row r="134" spans="5:5" s="46" customFormat="1">
      <c r="E134" s="116"/>
    </row>
  </sheetData>
  <mergeCells count="12">
    <mergeCell ref="A31:B31"/>
    <mergeCell ref="D30:F30"/>
    <mergeCell ref="D31:F31"/>
    <mergeCell ref="F10:H10"/>
    <mergeCell ref="J10:L10"/>
    <mergeCell ref="A23:L23"/>
    <mergeCell ref="A30:B30"/>
    <mergeCell ref="F7:H7"/>
    <mergeCell ref="J7:L7"/>
    <mergeCell ref="F8:H8"/>
    <mergeCell ref="J8:L8"/>
    <mergeCell ref="A22:L22"/>
  </mergeCells>
  <pageMargins left="0.75" right="0.5" top="0.75" bottom="0.5" header="0.4" footer="0.2"/>
  <pageSetup paperSize="9" scale="87" orientation="portrait" r:id="rId1"/>
  <headerFooter alignWithMargins="0"/>
  <ignoredErrors>
    <ignoredError sqref="F12:L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B390"/>
  <sheetViews>
    <sheetView showGridLines="0" view="pageBreakPreview" topLeftCell="A10" zoomScaleNormal="100" zoomScaleSheetLayoutView="100" workbookViewId="0">
      <selection activeCell="A14" sqref="A14"/>
    </sheetView>
  </sheetViews>
  <sheetFormatPr defaultColWidth="10.109375" defaultRowHeight="13.2"/>
  <cols>
    <col min="1" max="1" width="10.109375" style="512" customWidth="1"/>
    <col min="2" max="4" width="10.5546875" style="512" customWidth="1"/>
    <col min="5" max="5" width="11.44140625" style="512" customWidth="1"/>
    <col min="6" max="6" width="12" style="573" customWidth="1"/>
    <col min="7" max="7" width="12.5546875" style="573" customWidth="1"/>
    <col min="8" max="8" width="15" style="512" bestFit="1" customWidth="1"/>
    <col min="9" max="9" width="0.88671875" style="512" customWidth="1"/>
    <col min="10" max="10" width="12" style="512" customWidth="1"/>
    <col min="11" max="11" width="12.5546875" style="512" customWidth="1"/>
    <col min="12" max="12" width="11.5546875" style="512" customWidth="1"/>
    <col min="13" max="13" width="8.44140625" style="512" bestFit="1" customWidth="1"/>
    <col min="14" max="14" width="3.109375" style="512" customWidth="1"/>
    <col min="15" max="15" width="23.88671875" style="512" bestFit="1" customWidth="1"/>
    <col min="16" max="16" width="16" style="512" bestFit="1" customWidth="1"/>
    <col min="17" max="17" width="17.44140625" style="512" bestFit="1" customWidth="1"/>
    <col min="18" max="18" width="15.5546875" style="512" bestFit="1" customWidth="1"/>
    <col min="19" max="19" width="15.109375" style="512" bestFit="1" customWidth="1"/>
    <col min="20" max="20" width="17.44140625" style="512" bestFit="1" customWidth="1"/>
    <col min="21" max="16384" width="10.109375" style="512"/>
  </cols>
  <sheetData>
    <row r="1" spans="1:28" s="511" customFormat="1" ht="20.399999999999999">
      <c r="A1" s="640" t="str">
        <f>Cashflow!A1</f>
        <v xml:space="preserve">Alhamra Islamic Money Market Fund </v>
      </c>
      <c r="M1" s="512"/>
      <c r="N1" s="512"/>
      <c r="O1" s="512"/>
      <c r="P1" s="512"/>
      <c r="Q1" s="512"/>
      <c r="R1" s="512"/>
      <c r="S1" s="512"/>
      <c r="T1" s="512"/>
      <c r="U1" s="512"/>
    </row>
    <row r="2" spans="1:28" s="511" customFormat="1" ht="17.399999999999999">
      <c r="A2" s="641" t="s">
        <v>315</v>
      </c>
      <c r="M2" s="512"/>
      <c r="N2" s="512"/>
      <c r="O2" s="527"/>
      <c r="P2" s="861"/>
      <c r="Q2" s="527"/>
      <c r="R2" s="527"/>
      <c r="S2" s="861"/>
      <c r="T2" s="527"/>
      <c r="U2" s="527"/>
    </row>
    <row r="3" spans="1:28" s="511" customFormat="1">
      <c r="A3" s="642" t="s">
        <v>507</v>
      </c>
      <c r="M3" s="513"/>
      <c r="O3" s="513"/>
      <c r="P3" s="862"/>
      <c r="Q3" s="862"/>
      <c r="R3" s="513"/>
      <c r="S3" s="862"/>
      <c r="T3" s="862"/>
      <c r="U3" s="513"/>
    </row>
    <row r="4" spans="1:28" s="511" customFormat="1" ht="14.1" customHeight="1">
      <c r="A4" s="514"/>
      <c r="M4" s="515"/>
      <c r="O4" s="513"/>
      <c r="P4" s="863"/>
      <c r="Q4" s="513"/>
      <c r="R4" s="513"/>
      <c r="S4" s="864"/>
      <c r="T4" s="864"/>
      <c r="U4" s="513"/>
    </row>
    <row r="5" spans="1:28" s="511" customFormat="1" ht="14.1" customHeight="1">
      <c r="A5" s="514"/>
      <c r="M5" s="515"/>
      <c r="O5" s="513"/>
      <c r="P5" s="863"/>
      <c r="Q5" s="864"/>
      <c r="R5" s="513"/>
      <c r="S5" s="864"/>
      <c r="T5" s="864"/>
      <c r="U5" s="513"/>
    </row>
    <row r="6" spans="1:28" s="511" customFormat="1" ht="14.1" customHeight="1">
      <c r="A6" s="514"/>
      <c r="M6" s="515"/>
      <c r="O6" s="513"/>
      <c r="P6" s="863"/>
      <c r="Q6" s="864"/>
      <c r="R6" s="513"/>
      <c r="S6" s="864"/>
      <c r="T6" s="864"/>
      <c r="U6" s="513"/>
    </row>
    <row r="7" spans="1:28" s="511" customFormat="1" ht="14.1" customHeight="1">
      <c r="A7" s="514"/>
      <c r="F7" s="677"/>
      <c r="G7" s="679" t="s">
        <v>505</v>
      </c>
      <c r="H7" s="678"/>
      <c r="I7" s="493"/>
      <c r="J7" s="678"/>
      <c r="K7" s="891" t="s">
        <v>506</v>
      </c>
      <c r="L7" s="678"/>
      <c r="M7" s="515"/>
      <c r="O7" s="513"/>
      <c r="P7" s="863"/>
      <c r="Q7" s="864"/>
      <c r="R7" s="513"/>
      <c r="S7" s="864"/>
      <c r="T7" s="864"/>
      <c r="U7" s="513"/>
    </row>
    <row r="8" spans="1:28" s="511" customFormat="1" ht="18.75" customHeight="1">
      <c r="A8" s="514"/>
      <c r="F8" s="1106" t="s">
        <v>70</v>
      </c>
      <c r="G8" s="1106"/>
      <c r="H8" s="1106"/>
      <c r="I8" s="1106"/>
      <c r="J8" s="1106"/>
      <c r="K8" s="1106"/>
      <c r="L8" s="1106"/>
      <c r="M8" s="515"/>
      <c r="O8" s="513"/>
      <c r="P8" s="863"/>
      <c r="Q8" s="864"/>
      <c r="R8" s="513"/>
      <c r="S8" s="864"/>
      <c r="T8" s="864"/>
      <c r="U8" s="513"/>
    </row>
    <row r="9" spans="1:28" s="511" customFormat="1" ht="42" customHeight="1">
      <c r="A9" s="514"/>
      <c r="F9" s="774" t="s">
        <v>174</v>
      </c>
      <c r="G9" s="775" t="s">
        <v>323</v>
      </c>
      <c r="H9" s="774" t="s">
        <v>37</v>
      </c>
      <c r="I9" s="513"/>
      <c r="J9" s="776" t="s">
        <v>71</v>
      </c>
      <c r="K9" s="776" t="s">
        <v>323</v>
      </c>
      <c r="L9" s="776" t="s">
        <v>37</v>
      </c>
      <c r="M9" s="515"/>
      <c r="O9" s="513"/>
      <c r="P9" s="863"/>
      <c r="Q9" s="864"/>
      <c r="R9" s="513"/>
      <c r="S9" s="864"/>
      <c r="T9" s="864"/>
      <c r="U9" s="513"/>
    </row>
    <row r="10" spans="1:28" s="511" customFormat="1" ht="14.1" customHeight="1">
      <c r="A10" s="514"/>
      <c r="F10" s="1102" t="s">
        <v>62</v>
      </c>
      <c r="G10" s="1102"/>
      <c r="H10" s="1102"/>
      <c r="I10" s="513"/>
      <c r="J10" s="1107" t="s">
        <v>62</v>
      </c>
      <c r="K10" s="1107"/>
      <c r="L10" s="1107"/>
      <c r="M10" s="515"/>
      <c r="O10" s="863"/>
      <c r="P10" s="863"/>
      <c r="Q10" s="864"/>
      <c r="R10" s="513"/>
      <c r="S10" s="864"/>
      <c r="T10" s="864"/>
      <c r="U10" s="513"/>
    </row>
    <row r="11" spans="1:28" s="511" customFormat="1" ht="14.1" customHeight="1">
      <c r="A11" s="514"/>
      <c r="M11" s="515"/>
      <c r="O11" s="863"/>
      <c r="P11" s="863"/>
      <c r="Q11" s="863"/>
      <c r="R11" s="513"/>
      <c r="S11" s="513"/>
      <c r="T11" s="864"/>
      <c r="U11" s="513"/>
    </row>
    <row r="12" spans="1:28" ht="14.1" customHeight="1">
      <c r="A12" s="516" t="s">
        <v>24</v>
      </c>
      <c r="B12" s="516"/>
      <c r="C12" s="516"/>
      <c r="D12" s="516"/>
      <c r="E12" s="516"/>
      <c r="F12" s="811">
        <v>15252938</v>
      </c>
      <c r="G12" s="811">
        <v>4692</v>
      </c>
      <c r="H12" s="811">
        <f>SUM(F12:G12)</f>
        <v>15257630</v>
      </c>
      <c r="I12" s="517"/>
      <c r="J12" s="517">
        <v>141325</v>
      </c>
      <c r="K12" s="517">
        <v>11018</v>
      </c>
      <c r="L12" s="517">
        <v>152343</v>
      </c>
      <c r="M12" s="515"/>
      <c r="N12" s="511"/>
      <c r="O12" s="863"/>
      <c r="P12" s="863"/>
      <c r="Q12" s="864"/>
      <c r="R12" s="513"/>
      <c r="S12" s="864"/>
      <c r="T12" s="864"/>
      <c r="U12" s="513"/>
      <c r="V12" s="511"/>
      <c r="W12" s="511"/>
      <c r="X12" s="511"/>
      <c r="Y12" s="511"/>
      <c r="Z12" s="511"/>
      <c r="AA12" s="511"/>
      <c r="AB12" s="511"/>
    </row>
    <row r="13" spans="1:28" ht="14.1" customHeight="1">
      <c r="F13" s="518"/>
      <c r="G13" s="518"/>
      <c r="H13" s="519"/>
      <c r="I13" s="520"/>
      <c r="J13" s="520"/>
      <c r="K13" s="520"/>
      <c r="L13" s="520"/>
      <c r="M13" s="515"/>
      <c r="N13" s="511"/>
      <c r="O13" s="513"/>
      <c r="P13" s="863"/>
      <c r="Q13" s="513"/>
      <c r="R13" s="513"/>
      <c r="S13" s="864"/>
      <c r="T13" s="864"/>
      <c r="U13" s="513"/>
      <c r="V13" s="511"/>
      <c r="W13" s="511"/>
      <c r="X13" s="511"/>
      <c r="Y13" s="511"/>
    </row>
    <row r="14" spans="1:28" ht="14.1" customHeight="1">
      <c r="A14" s="512" t="s">
        <v>537</v>
      </c>
      <c r="F14" s="518"/>
      <c r="G14" s="518"/>
      <c r="H14" s="519"/>
      <c r="I14" s="520"/>
      <c r="J14" s="520"/>
      <c r="K14" s="520"/>
      <c r="L14" s="520"/>
      <c r="M14" s="515"/>
      <c r="N14" s="511"/>
      <c r="O14" s="795"/>
      <c r="P14" s="863"/>
      <c r="Q14" s="513"/>
      <c r="R14" s="513"/>
      <c r="S14" s="864"/>
      <c r="T14" s="864"/>
      <c r="U14" s="513"/>
    </row>
    <row r="15" spans="1:28" ht="14.1" customHeight="1">
      <c r="A15" s="522" t="s">
        <v>307</v>
      </c>
      <c r="F15" s="523">
        <f>UHA!B17</f>
        <v>13587726.275870003</v>
      </c>
      <c r="G15" s="523">
        <v>0</v>
      </c>
      <c r="H15" s="523">
        <f>SUM(F15:G15)</f>
        <v>13587726.275870003</v>
      </c>
      <c r="I15" s="520"/>
      <c r="J15" s="524">
        <v>25348848</v>
      </c>
      <c r="K15" s="524">
        <v>0</v>
      </c>
      <c r="L15" s="524">
        <v>25348848</v>
      </c>
      <c r="M15" s="515"/>
      <c r="N15" s="511"/>
      <c r="P15" s="863"/>
      <c r="Q15" s="513"/>
      <c r="R15" s="513"/>
      <c r="S15" s="864"/>
      <c r="T15" s="864"/>
      <c r="U15" s="513"/>
    </row>
    <row r="16" spans="1:28" ht="14.1" customHeight="1">
      <c r="A16" s="522" t="s">
        <v>72</v>
      </c>
      <c r="F16" s="525">
        <v>0</v>
      </c>
      <c r="G16" s="525">
        <v>0</v>
      </c>
      <c r="H16" s="525">
        <f>SUM(F16:G16)</f>
        <v>0</v>
      </c>
      <c r="I16" s="520"/>
      <c r="J16" s="526">
        <v>6276.5</v>
      </c>
      <c r="K16" s="526">
        <v>0</v>
      </c>
      <c r="L16" s="526">
        <v>6276.5</v>
      </c>
      <c r="M16" s="527"/>
      <c r="N16" s="528"/>
      <c r="O16" s="529"/>
      <c r="P16" s="863"/>
      <c r="Q16" s="527"/>
      <c r="R16" s="527"/>
      <c r="S16" s="864"/>
      <c r="T16" s="864"/>
      <c r="U16" s="527"/>
    </row>
    <row r="17" spans="1:28" ht="14.1" customHeight="1">
      <c r="A17" s="886" t="s">
        <v>306</v>
      </c>
      <c r="F17" s="519">
        <f>SUM(F15:F16)</f>
        <v>13587726.275870003</v>
      </c>
      <c r="G17" s="519">
        <f>SUM(G15:G16)</f>
        <v>0</v>
      </c>
      <c r="H17" s="519">
        <f>SUM(H15:H16)</f>
        <v>13587726.275870003</v>
      </c>
      <c r="I17" s="520"/>
      <c r="J17" s="520">
        <f>SUM(J15:J16)</f>
        <v>25355124.5</v>
      </c>
      <c r="K17" s="520">
        <v>0</v>
      </c>
      <c r="L17" s="520">
        <f>SUM(L15:L16)</f>
        <v>25355124.5</v>
      </c>
      <c r="M17" s="527"/>
      <c r="N17" s="530"/>
      <c r="O17" s="643"/>
      <c r="P17" s="863"/>
      <c r="Q17" s="527"/>
      <c r="R17" s="527"/>
      <c r="S17" s="864"/>
      <c r="T17" s="527"/>
      <c r="U17" s="527"/>
    </row>
    <row r="18" spans="1:28" ht="14.1" customHeight="1">
      <c r="F18" s="518"/>
      <c r="G18" s="518"/>
      <c r="H18" s="518"/>
      <c r="I18" s="531"/>
      <c r="J18" s="531"/>
      <c r="K18" s="531"/>
      <c r="L18" s="531"/>
      <c r="M18" s="527"/>
      <c r="N18" s="528"/>
      <c r="O18" s="529"/>
      <c r="P18" s="863"/>
      <c r="Q18" s="864"/>
      <c r="R18" s="527"/>
      <c r="S18" s="863"/>
      <c r="T18" s="864"/>
      <c r="U18" s="527"/>
    </row>
    <row r="19" spans="1:28" ht="14.1" customHeight="1">
      <c r="A19" s="512" t="s">
        <v>538</v>
      </c>
      <c r="F19" s="532"/>
      <c r="G19" s="532"/>
      <c r="H19" s="519"/>
      <c r="I19" s="520"/>
      <c r="J19" s="520"/>
      <c r="K19" s="520"/>
      <c r="L19" s="520"/>
      <c r="M19" s="527"/>
      <c r="N19" s="530"/>
      <c r="O19" s="529"/>
      <c r="P19" s="527"/>
      <c r="Q19" s="864"/>
      <c r="R19" s="527"/>
      <c r="S19" s="527"/>
      <c r="T19" s="527"/>
      <c r="U19" s="527"/>
    </row>
    <row r="20" spans="1:28" ht="14.1" customHeight="1">
      <c r="A20" s="522" t="s">
        <v>307</v>
      </c>
      <c r="F20" s="523">
        <f>-UHA!B36</f>
        <v>-19279698.025599997</v>
      </c>
      <c r="G20" s="523">
        <v>0</v>
      </c>
      <c r="H20" s="523">
        <f>SUM(F20:G20)</f>
        <v>-19279698.025599997</v>
      </c>
      <c r="I20" s="520"/>
      <c r="J20" s="524">
        <v>-12361219</v>
      </c>
      <c r="K20" s="524">
        <v>0</v>
      </c>
      <c r="L20" s="524">
        <v>-12361219</v>
      </c>
      <c r="M20" s="527"/>
      <c r="N20" s="530"/>
      <c r="O20" s="528"/>
      <c r="P20" s="527"/>
      <c r="Q20" s="865"/>
      <c r="R20" s="527"/>
      <c r="S20" s="527"/>
      <c r="T20" s="527"/>
      <c r="U20" s="527"/>
    </row>
    <row r="21" spans="1:28" ht="14.1" hidden="1" customHeight="1">
      <c r="A21" s="522" t="s">
        <v>366</v>
      </c>
      <c r="F21" s="533"/>
      <c r="G21" s="533"/>
      <c r="H21" s="533"/>
      <c r="I21" s="520"/>
      <c r="J21" s="534"/>
      <c r="K21" s="534"/>
      <c r="L21" s="534"/>
      <c r="M21" s="527"/>
      <c r="O21" s="866"/>
      <c r="P21" s="554"/>
      <c r="Q21" s="867"/>
      <c r="R21" s="554"/>
      <c r="S21" s="554"/>
      <c r="T21" s="554"/>
      <c r="U21" s="527"/>
    </row>
    <row r="22" spans="1:28" ht="14.1" customHeight="1">
      <c r="A22" s="522" t="s">
        <v>366</v>
      </c>
      <c r="F22" s="796">
        <v>0</v>
      </c>
      <c r="G22" s="525">
        <f>(IS!F51)</f>
        <v>0</v>
      </c>
      <c r="H22" s="525">
        <f>-S31</f>
        <v>0</v>
      </c>
      <c r="I22" s="520"/>
      <c r="J22" s="526">
        <v>-5782.5363647043705</v>
      </c>
      <c r="K22" s="526">
        <v>-5309</v>
      </c>
      <c r="L22" s="526">
        <v>-11091.53636470437</v>
      </c>
      <c r="M22" s="527"/>
      <c r="N22" s="535"/>
      <c r="O22" s="503"/>
      <c r="P22" s="868"/>
      <c r="Q22" s="865"/>
      <c r="R22" s="868"/>
      <c r="S22" s="868"/>
      <c r="T22" s="527"/>
      <c r="U22" s="527"/>
    </row>
    <row r="23" spans="1:28" ht="14.1" customHeight="1">
      <c r="A23" s="887" t="s">
        <v>308</v>
      </c>
      <c r="F23" s="532">
        <f>SUM(F20:F22)</f>
        <v>-19279698.025599997</v>
      </c>
      <c r="G23" s="532">
        <f>SUM(G20:G22)</f>
        <v>0</v>
      </c>
      <c r="H23" s="532">
        <f>SUM(H20:H22)</f>
        <v>-19279698.025599997</v>
      </c>
      <c r="I23" s="537"/>
      <c r="J23" s="884">
        <f>SUM(J20:J22)</f>
        <v>-12367001.536364704</v>
      </c>
      <c r="K23" s="884">
        <f>SUM(K20:K22)</f>
        <v>-5309</v>
      </c>
      <c r="L23" s="884">
        <f>SUM(L20:L22)</f>
        <v>-12372310.536364704</v>
      </c>
      <c r="M23" s="527"/>
      <c r="O23" s="503"/>
      <c r="P23" s="868"/>
      <c r="Q23" s="865"/>
      <c r="R23" s="868"/>
      <c r="S23" s="868"/>
      <c r="T23" s="527"/>
      <c r="U23" s="527"/>
    </row>
    <row r="24" spans="1:28" ht="14.1" customHeight="1">
      <c r="A24" s="538"/>
      <c r="E24" s="539"/>
      <c r="F24" s="532"/>
      <c r="G24" s="519"/>
      <c r="H24" s="532"/>
      <c r="I24" s="537"/>
      <c r="J24" s="537"/>
      <c r="K24" s="537"/>
      <c r="L24" s="537"/>
      <c r="M24" s="527"/>
      <c r="O24" s="868"/>
      <c r="P24" s="868"/>
      <c r="Q24" s="865"/>
      <c r="R24" s="868"/>
      <c r="S24" s="868"/>
      <c r="T24" s="527"/>
      <c r="U24" s="527"/>
    </row>
    <row r="25" spans="1:28" ht="14.1" customHeight="1">
      <c r="A25" s="540"/>
      <c r="B25" s="516"/>
      <c r="C25" s="516"/>
      <c r="D25" s="516"/>
      <c r="E25" s="516"/>
      <c r="F25" s="541"/>
      <c r="G25" s="541"/>
      <c r="H25" s="541"/>
      <c r="I25" s="520"/>
      <c r="J25" s="542"/>
      <c r="K25" s="542"/>
      <c r="L25" s="542"/>
      <c r="M25" s="527"/>
      <c r="O25" s="868"/>
      <c r="P25" s="868"/>
      <c r="Q25" s="865"/>
      <c r="R25" s="868"/>
      <c r="S25" s="868"/>
      <c r="T25" s="527"/>
      <c r="U25" s="527"/>
    </row>
    <row r="26" spans="1:28" ht="14.1" customHeight="1">
      <c r="A26" s="790" t="s">
        <v>22</v>
      </c>
      <c r="B26" s="516"/>
      <c r="C26" s="516"/>
      <c r="D26" s="516"/>
      <c r="E26" s="516"/>
      <c r="F26" s="533">
        <v>0</v>
      </c>
      <c r="G26" s="533">
        <f>OCI!F16</f>
        <v>884272.75251000002</v>
      </c>
      <c r="H26" s="533">
        <f>SUM(F26:G26)</f>
        <v>884272.75251000002</v>
      </c>
      <c r="I26" s="520"/>
      <c r="J26" s="534">
        <v>0</v>
      </c>
      <c r="K26" s="534">
        <v>175581</v>
      </c>
      <c r="L26" s="534">
        <v>175581</v>
      </c>
      <c r="M26" s="527"/>
      <c r="O26" s="868"/>
      <c r="P26" s="868"/>
      <c r="Q26" s="865"/>
      <c r="R26" s="868"/>
      <c r="S26" s="868"/>
      <c r="T26" s="527"/>
      <c r="U26" s="527"/>
    </row>
    <row r="27" spans="1:28" ht="14.1" customHeight="1">
      <c r="A27" s="177" t="s">
        <v>367</v>
      </c>
      <c r="B27" s="789"/>
      <c r="C27" s="789"/>
      <c r="D27" s="789"/>
      <c r="E27" s="791"/>
      <c r="F27" s="525">
        <v>0</v>
      </c>
      <c r="G27" s="525">
        <v>-884272.75251000002</v>
      </c>
      <c r="H27" s="525">
        <f>SUM(F27:G27)</f>
        <v>-884272.75251000002</v>
      </c>
      <c r="I27" s="520"/>
      <c r="J27" s="526">
        <v>-492</v>
      </c>
      <c r="K27" s="526">
        <v>-170272</v>
      </c>
      <c r="L27" s="526">
        <v>-170764</v>
      </c>
      <c r="M27" s="527"/>
      <c r="O27" s="868"/>
      <c r="P27" s="868"/>
      <c r="Q27" s="865"/>
      <c r="R27" s="868"/>
      <c r="S27" s="868"/>
      <c r="T27" s="527"/>
      <c r="U27" s="527"/>
    </row>
    <row r="28" spans="1:28" ht="14.1" customHeight="1">
      <c r="A28" s="543" t="s">
        <v>328</v>
      </c>
      <c r="B28" s="516"/>
      <c r="C28" s="516"/>
      <c r="D28" s="516"/>
      <c r="E28" s="516"/>
      <c r="F28" s="519">
        <f>SUM(F25:F27)</f>
        <v>0</v>
      </c>
      <c r="G28" s="519">
        <f>SUM(G25:G27)</f>
        <v>0</v>
      </c>
      <c r="H28" s="519">
        <f>SUM(H25:H27)</f>
        <v>0</v>
      </c>
      <c r="I28" s="520"/>
      <c r="J28" s="885">
        <f>SUM(J25:J27)</f>
        <v>-492</v>
      </c>
      <c r="K28" s="885">
        <f>SUM(K25:K27)</f>
        <v>5309</v>
      </c>
      <c r="L28" s="885">
        <f>SUM(L25:L27)</f>
        <v>4817</v>
      </c>
      <c r="M28" s="527"/>
      <c r="O28" s="869"/>
      <c r="P28" s="869"/>
      <c r="Q28" s="867"/>
      <c r="R28" s="869"/>
      <c r="S28" s="869"/>
      <c r="T28" s="527"/>
      <c r="U28" s="527"/>
    </row>
    <row r="29" spans="1:28" ht="14.1" customHeight="1">
      <c r="B29" s="544"/>
      <c r="C29" s="544"/>
      <c r="D29" s="544"/>
      <c r="E29" s="544"/>
      <c r="F29" s="518"/>
      <c r="G29" s="518"/>
      <c r="H29" s="519"/>
      <c r="I29" s="520"/>
      <c r="J29" s="520"/>
      <c r="K29" s="520"/>
      <c r="L29" s="520"/>
      <c r="M29" s="527"/>
      <c r="O29" s="869"/>
      <c r="P29" s="869"/>
      <c r="Q29" s="867"/>
      <c r="R29" s="868"/>
      <c r="S29" s="868"/>
      <c r="T29" s="527"/>
      <c r="U29" s="527"/>
    </row>
    <row r="30" spans="1:28" ht="14.1" customHeight="1" thickBot="1">
      <c r="A30" s="545" t="s">
        <v>133</v>
      </c>
      <c r="B30" s="546"/>
      <c r="C30" s="546"/>
      <c r="D30" s="546"/>
      <c r="E30" s="546"/>
      <c r="F30" s="547">
        <f>F12+F17+F23+F28</f>
        <v>9560966.2502700053</v>
      </c>
      <c r="G30" s="547">
        <f>G12+G17+G23+G28</f>
        <v>4692</v>
      </c>
      <c r="H30" s="547">
        <f>H12+H17+H23+H28</f>
        <v>9565658.2502700053</v>
      </c>
      <c r="I30" s="548"/>
      <c r="J30" s="888">
        <f>J12+J17+J23+J28</f>
        <v>13128955.963635296</v>
      </c>
      <c r="K30" s="888">
        <f>K12+K17+K23+K28</f>
        <v>11018</v>
      </c>
      <c r="L30" s="888">
        <f>L12+L17+L23+L28</f>
        <v>13139973.963635296</v>
      </c>
      <c r="M30" s="795"/>
      <c r="O30" s="869"/>
      <c r="P30" s="869"/>
      <c r="Q30" s="867"/>
      <c r="R30" s="869"/>
      <c r="S30" s="869"/>
      <c r="T30" s="527"/>
      <c r="U30" s="527"/>
    </row>
    <row r="31" spans="1:28" ht="14.1" customHeight="1" thickTop="1">
      <c r="B31" s="516"/>
      <c r="C31" s="516"/>
      <c r="D31" s="516"/>
      <c r="E31" s="516"/>
      <c r="F31" s="549"/>
      <c r="G31" s="549"/>
      <c r="H31" s="549"/>
      <c r="I31" s="549"/>
      <c r="J31" s="549"/>
      <c r="K31" s="549"/>
      <c r="L31" s="549"/>
      <c r="M31" s="527"/>
      <c r="O31" s="868"/>
      <c r="P31" s="868"/>
      <c r="Q31" s="865"/>
      <c r="R31" s="868"/>
      <c r="S31" s="868"/>
      <c r="T31" s="527"/>
      <c r="U31" s="527"/>
    </row>
    <row r="32" spans="1:28" s="551" customFormat="1" ht="14.1" customHeight="1">
      <c r="A32" s="536" t="s">
        <v>329</v>
      </c>
      <c r="B32" s="516"/>
      <c r="C32" s="516"/>
      <c r="D32" s="516"/>
      <c r="E32" s="516"/>
      <c r="F32" s="550"/>
      <c r="G32" s="550"/>
      <c r="H32" s="549"/>
      <c r="I32" s="520"/>
      <c r="J32" s="520"/>
      <c r="K32" s="520"/>
      <c r="L32" s="512"/>
      <c r="M32" s="527"/>
      <c r="N32" s="512"/>
      <c r="O32" s="868"/>
      <c r="P32" s="868"/>
      <c r="Q32" s="865"/>
      <c r="R32" s="868"/>
      <c r="S32" s="868"/>
      <c r="T32" s="527"/>
      <c r="U32" s="527"/>
      <c r="V32" s="512"/>
      <c r="W32" s="512"/>
      <c r="X32" s="512"/>
      <c r="Y32" s="512"/>
      <c r="Z32" s="512"/>
      <c r="AA32" s="512"/>
      <c r="AB32" s="512"/>
    </row>
    <row r="33" spans="1:28" s="521" customFormat="1" ht="14.1" customHeight="1">
      <c r="A33" s="792" t="s">
        <v>330</v>
      </c>
      <c r="B33" s="516"/>
      <c r="C33" s="516"/>
      <c r="D33" s="516"/>
      <c r="E33" s="516"/>
      <c r="F33" s="550"/>
      <c r="G33" s="552">
        <v>4692</v>
      </c>
      <c r="H33" s="552"/>
      <c r="I33" s="531"/>
      <c r="J33" s="531"/>
      <c r="K33" s="537">
        <v>10647</v>
      </c>
      <c r="L33" s="512"/>
      <c r="M33" s="527"/>
      <c r="N33" s="512"/>
      <c r="O33" s="868"/>
      <c r="P33" s="868"/>
      <c r="Q33" s="865"/>
      <c r="R33" s="868"/>
      <c r="S33" s="868"/>
      <c r="T33" s="527"/>
      <c r="U33" s="527"/>
      <c r="V33" s="512"/>
      <c r="W33" s="512"/>
      <c r="X33" s="512"/>
      <c r="Y33" s="512"/>
      <c r="Z33" s="512"/>
      <c r="AA33" s="551"/>
      <c r="AB33" s="551"/>
    </row>
    <row r="34" spans="1:28" ht="14.1" customHeight="1">
      <c r="A34" s="792" t="s">
        <v>331</v>
      </c>
      <c r="B34" s="516"/>
      <c r="C34" s="516"/>
      <c r="D34" s="516"/>
      <c r="E34" s="516"/>
      <c r="F34" s="550"/>
      <c r="G34" s="552">
        <v>0</v>
      </c>
      <c r="H34" s="552"/>
      <c r="I34" s="531"/>
      <c r="J34" s="531"/>
      <c r="K34" s="537">
        <v>371</v>
      </c>
      <c r="M34" s="527"/>
      <c r="O34" s="868"/>
      <c r="P34" s="868"/>
      <c r="Q34" s="865"/>
      <c r="R34" s="868"/>
      <c r="S34" s="868"/>
      <c r="T34" s="527"/>
      <c r="U34" s="527"/>
      <c r="Z34" s="551"/>
      <c r="AA34" s="521"/>
      <c r="AB34" s="521"/>
    </row>
    <row r="35" spans="1:28" ht="14.1" customHeight="1">
      <c r="B35" s="516"/>
      <c r="C35" s="516"/>
      <c r="D35" s="516"/>
      <c r="E35" s="516"/>
      <c r="F35" s="552"/>
      <c r="G35" s="1019">
        <f>SUM(G33:G34)</f>
        <v>4692</v>
      </c>
      <c r="H35" s="552"/>
      <c r="I35" s="537"/>
      <c r="J35" s="537"/>
      <c r="K35" s="889">
        <f>SUM(K33:K34)</f>
        <v>11018</v>
      </c>
      <c r="M35" s="527"/>
      <c r="O35" s="868"/>
      <c r="P35" s="868"/>
      <c r="Q35" s="865"/>
      <c r="R35" s="868"/>
      <c r="S35" s="868"/>
      <c r="T35" s="527"/>
      <c r="U35" s="527"/>
      <c r="Z35" s="521"/>
    </row>
    <row r="36" spans="1:28" ht="14.1" customHeight="1">
      <c r="B36" s="516"/>
      <c r="C36" s="516"/>
      <c r="D36" s="516"/>
      <c r="E36" s="516"/>
      <c r="F36" s="552"/>
      <c r="G36" s="552"/>
      <c r="H36" s="552"/>
      <c r="I36" s="537"/>
      <c r="J36" s="537"/>
      <c r="K36" s="537"/>
      <c r="M36" s="527"/>
      <c r="O36" s="868"/>
      <c r="P36" s="868"/>
      <c r="Q36" s="865"/>
      <c r="R36" s="868"/>
      <c r="S36" s="868"/>
      <c r="T36" s="527"/>
      <c r="U36" s="527"/>
      <c r="V36" s="551"/>
      <c r="W36" s="551"/>
      <c r="X36" s="551"/>
      <c r="Y36" s="551"/>
    </row>
    <row r="37" spans="1:28" ht="14.1" customHeight="1">
      <c r="A37" s="521" t="s">
        <v>127</v>
      </c>
      <c r="B37" s="516"/>
      <c r="C37" s="516"/>
      <c r="D37" s="516"/>
      <c r="E37" s="516"/>
      <c r="F37" s="550"/>
      <c r="G37" s="549"/>
      <c r="H37" s="549"/>
      <c r="I37" s="520"/>
      <c r="J37" s="520"/>
      <c r="K37" s="520"/>
      <c r="M37" s="527"/>
      <c r="O37" s="868"/>
      <c r="P37" s="868"/>
      <c r="Q37" s="865"/>
      <c r="R37" s="868"/>
      <c r="S37" s="868"/>
      <c r="T37" s="527"/>
      <c r="U37" s="527"/>
      <c r="V37" s="521"/>
      <c r="W37" s="521"/>
      <c r="X37" s="521"/>
      <c r="Y37" s="521"/>
    </row>
    <row r="38" spans="1:28" ht="14.1" customHeight="1">
      <c r="A38" s="793" t="s">
        <v>128</v>
      </c>
      <c r="B38" s="516"/>
      <c r="C38" s="516"/>
      <c r="D38" s="516"/>
      <c r="E38" s="516"/>
      <c r="F38" s="549"/>
      <c r="G38" s="1020">
        <f>IS!F55</f>
        <v>0</v>
      </c>
      <c r="H38" s="549"/>
      <c r="I38" s="520"/>
      <c r="J38" s="520"/>
      <c r="K38" s="524">
        <v>0</v>
      </c>
      <c r="M38" s="553"/>
      <c r="N38" s="551"/>
      <c r="O38" s="868"/>
      <c r="P38" s="868"/>
      <c r="Q38" s="865"/>
      <c r="R38" s="868"/>
      <c r="S38" s="868"/>
      <c r="T38" s="527"/>
      <c r="U38" s="870"/>
    </row>
    <row r="39" spans="1:28" ht="14.1" customHeight="1">
      <c r="A39" s="793" t="s">
        <v>129</v>
      </c>
      <c r="B39" s="516"/>
      <c r="C39" s="516"/>
      <c r="D39" s="516"/>
      <c r="E39" s="516"/>
      <c r="F39" s="549"/>
      <c r="G39" s="1021">
        <f>IS!F56</f>
        <v>884273</v>
      </c>
      <c r="H39" s="549"/>
      <c r="I39" s="520"/>
      <c r="J39" s="520"/>
      <c r="K39" s="526">
        <v>170272</v>
      </c>
      <c r="M39" s="554"/>
      <c r="N39" s="521"/>
      <c r="O39" s="871"/>
      <c r="P39" s="527"/>
      <c r="Q39" s="865"/>
      <c r="R39" s="527"/>
      <c r="S39" s="527"/>
      <c r="T39" s="527"/>
      <c r="U39" s="554"/>
    </row>
    <row r="40" spans="1:28" ht="14.1" customHeight="1">
      <c r="A40" s="793"/>
      <c r="B40" s="516"/>
      <c r="C40" s="516"/>
      <c r="D40" s="516"/>
      <c r="E40" s="516"/>
      <c r="F40" s="550"/>
      <c r="G40" s="549">
        <f>SUM(G38:G39)</f>
        <v>884273</v>
      </c>
      <c r="H40" s="549"/>
      <c r="I40" s="520"/>
      <c r="J40" s="520"/>
      <c r="K40" s="520">
        <f>SUM(K38:K39)</f>
        <v>170272</v>
      </c>
      <c r="M40" s="527"/>
      <c r="O40" s="872"/>
      <c r="P40" s="527"/>
      <c r="Q40" s="865"/>
      <c r="R40" s="527"/>
      <c r="S40" s="527"/>
      <c r="T40" s="527"/>
      <c r="U40" s="527"/>
    </row>
    <row r="41" spans="1:28" ht="14.1" customHeight="1">
      <c r="A41" s="793"/>
      <c r="B41" s="516"/>
      <c r="C41" s="516"/>
      <c r="D41" s="516"/>
      <c r="E41" s="516"/>
      <c r="F41" s="550"/>
      <c r="G41" s="549"/>
      <c r="H41" s="549"/>
      <c r="I41" s="520"/>
      <c r="J41" s="520"/>
      <c r="K41" s="520"/>
      <c r="M41" s="527"/>
      <c r="O41" s="567"/>
      <c r="P41" s="567"/>
      <c r="Q41" s="873"/>
      <c r="R41" s="567"/>
      <c r="S41" s="567"/>
      <c r="T41" s="567"/>
      <c r="U41" s="527"/>
    </row>
    <row r="42" spans="1:28" ht="14.1" customHeight="1">
      <c r="A42" s="556" t="s">
        <v>132</v>
      </c>
      <c r="B42" s="516"/>
      <c r="C42" s="516"/>
      <c r="D42" s="516"/>
      <c r="E42" s="516"/>
      <c r="F42" s="550"/>
      <c r="G42" s="549">
        <f>G27+G25</f>
        <v>-884272.75251000002</v>
      </c>
      <c r="H42" s="549"/>
      <c r="I42" s="520"/>
      <c r="J42" s="520"/>
      <c r="K42" s="520">
        <f>-K40</f>
        <v>-170272</v>
      </c>
      <c r="M42" s="527"/>
      <c r="O42" s="874"/>
      <c r="P42" s="871"/>
      <c r="Q42" s="865"/>
      <c r="R42" s="874"/>
      <c r="S42" s="527"/>
      <c r="T42" s="527"/>
      <c r="U42" s="527"/>
    </row>
    <row r="43" spans="1:28" ht="14.1" customHeight="1">
      <c r="A43" s="556"/>
      <c r="B43" s="516"/>
      <c r="C43" s="516"/>
      <c r="D43" s="516"/>
      <c r="E43" s="516"/>
      <c r="F43" s="550"/>
      <c r="G43" s="549"/>
      <c r="H43" s="549"/>
      <c r="I43" s="520"/>
      <c r="J43" s="520"/>
      <c r="K43" s="520"/>
      <c r="M43" s="527"/>
      <c r="O43" s="527"/>
      <c r="P43" s="527"/>
      <c r="Q43" s="527"/>
      <c r="R43" s="527"/>
      <c r="S43" s="527"/>
      <c r="T43" s="527"/>
      <c r="U43" s="527"/>
    </row>
    <row r="44" spans="1:28" ht="14.1" customHeight="1" thickBot="1">
      <c r="A44" s="551" t="s">
        <v>23</v>
      </c>
      <c r="B44" s="546"/>
      <c r="C44" s="546"/>
      <c r="D44" s="546"/>
      <c r="E44" s="546"/>
      <c r="F44" s="794"/>
      <c r="G44" s="1022">
        <f>G35+G40+G42</f>
        <v>4692.2474899999797</v>
      </c>
      <c r="H44" s="557"/>
      <c r="I44" s="548"/>
      <c r="J44" s="548"/>
      <c r="K44" s="890">
        <f>K35+K40+K42</f>
        <v>11018</v>
      </c>
      <c r="L44" s="555"/>
      <c r="M44" s="527"/>
      <c r="O44" s="527"/>
      <c r="P44" s="527"/>
      <c r="Q44" s="527"/>
      <c r="R44" s="527"/>
      <c r="S44" s="527"/>
      <c r="T44" s="554"/>
      <c r="U44" s="527"/>
    </row>
    <row r="45" spans="1:28" ht="14.1" customHeight="1" thickTop="1">
      <c r="A45" s="556"/>
      <c r="B45" s="516"/>
      <c r="C45" s="516"/>
      <c r="D45" s="516"/>
      <c r="E45" s="516"/>
      <c r="F45" s="550"/>
      <c r="G45" s="549"/>
      <c r="H45" s="549"/>
      <c r="I45" s="520"/>
      <c r="J45" s="520"/>
      <c r="K45" s="520"/>
      <c r="M45" s="527"/>
      <c r="O45" s="554"/>
      <c r="P45" s="875"/>
      <c r="Q45" s="554"/>
      <c r="R45" s="554"/>
      <c r="S45" s="554"/>
      <c r="T45" s="554"/>
      <c r="U45" s="527"/>
    </row>
    <row r="46" spans="1:28" s="555" customFormat="1" ht="14.1" customHeight="1">
      <c r="A46" s="521" t="str">
        <f>A44</f>
        <v>Undistributed income carried forward</v>
      </c>
      <c r="B46" s="516"/>
      <c r="C46" s="516"/>
      <c r="D46" s="516"/>
      <c r="E46" s="516"/>
      <c r="F46" s="550"/>
      <c r="G46" s="549"/>
      <c r="H46" s="549"/>
      <c r="I46" s="520"/>
      <c r="J46" s="520"/>
      <c r="K46" s="520"/>
      <c r="L46" s="512"/>
      <c r="M46" s="527"/>
      <c r="N46" s="512"/>
      <c r="O46" s="554"/>
      <c r="P46" s="869"/>
      <c r="Q46" s="554"/>
      <c r="R46" s="554"/>
      <c r="S46" s="554"/>
      <c r="T46" s="527"/>
      <c r="U46" s="527"/>
      <c r="V46" s="512"/>
      <c r="W46" s="512"/>
      <c r="X46" s="512"/>
      <c r="Y46" s="512"/>
      <c r="Z46" s="512"/>
      <c r="AA46" s="512"/>
      <c r="AB46" s="512"/>
    </row>
    <row r="47" spans="1:28" ht="14.1" customHeight="1">
      <c r="A47" s="558" t="s">
        <v>332</v>
      </c>
      <c r="B47" s="516"/>
      <c r="C47" s="516"/>
      <c r="D47" s="516"/>
      <c r="E47" s="516"/>
      <c r="F47" s="550"/>
      <c r="G47" s="549">
        <f>G44-G48</f>
        <v>4692.2474899999797</v>
      </c>
      <c r="H47" s="549"/>
      <c r="I47" s="520"/>
      <c r="J47" s="520"/>
      <c r="K47" s="520">
        <f>K44</f>
        <v>11018</v>
      </c>
      <c r="M47" s="527"/>
      <c r="O47" s="554"/>
      <c r="P47" s="554"/>
      <c r="Q47" s="554"/>
      <c r="R47" s="554"/>
      <c r="S47" s="554"/>
      <c r="T47" s="527"/>
      <c r="U47" s="527"/>
      <c r="AA47" s="555"/>
      <c r="AB47" s="555"/>
    </row>
    <row r="48" spans="1:28" ht="14.1" customHeight="1">
      <c r="A48" s="558" t="s">
        <v>309</v>
      </c>
      <c r="B48" s="516"/>
      <c r="C48" s="516"/>
      <c r="D48" s="516"/>
      <c r="E48" s="516"/>
      <c r="F48" s="550"/>
      <c r="G48" s="549">
        <v>0</v>
      </c>
      <c r="H48" s="549"/>
      <c r="I48" s="520"/>
      <c r="J48" s="520"/>
      <c r="K48" s="520">
        <v>0</v>
      </c>
      <c r="M48" s="527"/>
      <c r="O48" s="527"/>
      <c r="P48" s="527"/>
      <c r="Q48" s="527"/>
      <c r="R48" s="527"/>
      <c r="S48" s="527"/>
      <c r="T48" s="527"/>
      <c r="U48" s="527"/>
      <c r="Z48" s="555"/>
    </row>
    <row r="49" spans="1:28" ht="14.1" customHeight="1" thickBot="1">
      <c r="A49" s="555"/>
      <c r="B49" s="546"/>
      <c r="C49" s="546"/>
      <c r="D49" s="546"/>
      <c r="E49" s="546"/>
      <c r="F49" s="559"/>
      <c r="G49" s="1023">
        <f>SUM(G47:G48)</f>
        <v>4692.2474899999797</v>
      </c>
      <c r="H49" s="560"/>
      <c r="I49" s="561"/>
      <c r="J49" s="561"/>
      <c r="K49" s="562">
        <f>K48+K47</f>
        <v>11018</v>
      </c>
      <c r="L49" s="555"/>
      <c r="M49" s="527"/>
      <c r="O49" s="527"/>
      <c r="P49" s="527"/>
      <c r="Q49" s="527"/>
      <c r="R49" s="527"/>
      <c r="S49" s="527"/>
      <c r="T49" s="527"/>
      <c r="U49" s="527"/>
    </row>
    <row r="50" spans="1:28" ht="14.1" customHeight="1" thickTop="1">
      <c r="A50" s="546"/>
      <c r="B50" s="546"/>
      <c r="C50" s="546"/>
      <c r="D50" s="546"/>
      <c r="E50" s="546"/>
      <c r="F50" s="551"/>
      <c r="G50" s="563"/>
      <c r="H50" s="563"/>
      <c r="I50" s="564"/>
      <c r="J50" s="564"/>
      <c r="K50" s="564"/>
      <c r="L50" s="555"/>
      <c r="M50" s="527"/>
      <c r="O50" s="527"/>
      <c r="P50" s="527"/>
      <c r="Q50" s="527"/>
      <c r="R50" s="527"/>
      <c r="S50" s="527"/>
      <c r="T50" s="527"/>
      <c r="U50" s="527"/>
      <c r="V50" s="555"/>
      <c r="W50" s="555"/>
      <c r="X50" s="555"/>
      <c r="Y50" s="555"/>
    </row>
    <row r="51" spans="1:28" s="555" customFormat="1" ht="14.1" customHeight="1">
      <c r="A51" s="512"/>
      <c r="B51" s="516"/>
      <c r="C51" s="516"/>
      <c r="D51" s="516"/>
      <c r="E51" s="516"/>
      <c r="F51" s="565"/>
      <c r="G51" s="566" t="s">
        <v>10</v>
      </c>
      <c r="H51" s="512"/>
      <c r="I51" s="566"/>
      <c r="J51" s="566"/>
      <c r="K51" s="680" t="s">
        <v>10</v>
      </c>
      <c r="L51" s="512"/>
      <c r="M51" s="527"/>
      <c r="N51" s="512"/>
      <c r="O51" s="527"/>
      <c r="P51" s="527"/>
      <c r="Q51" s="527"/>
      <c r="R51" s="527"/>
      <c r="S51" s="527"/>
      <c r="T51" s="527"/>
      <c r="U51" s="527"/>
      <c r="V51" s="512"/>
      <c r="W51" s="512"/>
      <c r="X51" s="512"/>
      <c r="Y51" s="512"/>
      <c r="Z51" s="512"/>
      <c r="AA51" s="512"/>
      <c r="AB51" s="512"/>
    </row>
    <row r="52" spans="1:28" s="555" customFormat="1" ht="14.1" customHeight="1">
      <c r="A52" s="512"/>
      <c r="B52" s="516"/>
      <c r="C52" s="516"/>
      <c r="D52" s="516"/>
      <c r="E52" s="516"/>
      <c r="F52" s="565"/>
      <c r="G52" s="566"/>
      <c r="H52" s="512"/>
      <c r="I52" s="566"/>
      <c r="J52" s="566"/>
      <c r="K52" s="566"/>
      <c r="L52" s="512"/>
      <c r="M52" s="567"/>
      <c r="O52" s="527"/>
      <c r="P52" s="527"/>
      <c r="Q52" s="527"/>
      <c r="R52" s="527"/>
      <c r="S52" s="527"/>
      <c r="T52" s="527"/>
      <c r="U52" s="567"/>
      <c r="V52" s="512"/>
      <c r="W52" s="512"/>
      <c r="X52" s="512"/>
      <c r="Y52" s="512"/>
      <c r="Z52" s="512"/>
    </row>
    <row r="53" spans="1:28" ht="14.1" customHeight="1" thickBot="1">
      <c r="A53" s="512" t="s">
        <v>74</v>
      </c>
      <c r="B53" s="516"/>
      <c r="C53" s="516"/>
      <c r="D53" s="516"/>
      <c r="E53" s="516"/>
      <c r="F53" s="565"/>
      <c r="G53" s="1024">
        <f>BS!I40</f>
        <v>99.51</v>
      </c>
      <c r="I53" s="568"/>
      <c r="J53" s="568"/>
      <c r="K53" s="569">
        <v>99.51</v>
      </c>
      <c r="M53" s="527"/>
      <c r="O53" s="527"/>
      <c r="P53" s="527"/>
      <c r="Q53" s="527"/>
      <c r="R53" s="527"/>
      <c r="S53" s="527"/>
      <c r="T53" s="527"/>
      <c r="U53" s="527"/>
      <c r="Z53" s="555"/>
      <c r="AA53" s="555"/>
      <c r="AB53" s="555"/>
    </row>
    <row r="54" spans="1:28" ht="14.1" customHeight="1" thickTop="1">
      <c r="B54" s="516"/>
      <c r="C54" s="516"/>
      <c r="D54" s="516"/>
      <c r="E54" s="516"/>
      <c r="F54" s="565"/>
      <c r="G54" s="1025"/>
      <c r="I54" s="570"/>
      <c r="J54" s="570"/>
      <c r="K54" s="570"/>
      <c r="M54" s="527"/>
      <c r="O54" s="527"/>
      <c r="P54" s="527"/>
      <c r="Q54" s="527"/>
      <c r="R54" s="527"/>
      <c r="S54" s="527"/>
      <c r="T54" s="527"/>
      <c r="U54" s="527"/>
      <c r="Z54" s="555"/>
    </row>
    <row r="55" spans="1:28" ht="14.1" customHeight="1" thickBot="1">
      <c r="A55" s="512" t="s">
        <v>75</v>
      </c>
      <c r="B55" s="516"/>
      <c r="C55" s="516"/>
      <c r="D55" s="516"/>
      <c r="E55" s="516"/>
      <c r="F55" s="565"/>
      <c r="G55" s="1026">
        <f>BS!G40</f>
        <v>99.51</v>
      </c>
      <c r="I55" s="571"/>
      <c r="J55" s="571"/>
      <c r="K55" s="572">
        <v>99.51</v>
      </c>
      <c r="M55" s="527"/>
      <c r="O55" s="567"/>
      <c r="P55" s="567"/>
      <c r="Q55" s="567"/>
      <c r="R55" s="567"/>
      <c r="S55" s="567"/>
      <c r="T55" s="567"/>
      <c r="U55" s="527"/>
      <c r="V55" s="555"/>
      <c r="W55" s="555"/>
      <c r="X55" s="555"/>
      <c r="Y55" s="555"/>
    </row>
    <row r="56" spans="1:28" ht="14.1" customHeight="1" thickTop="1">
      <c r="B56" s="516"/>
      <c r="C56" s="516"/>
      <c r="D56" s="516"/>
      <c r="E56" s="516"/>
      <c r="F56" s="565"/>
      <c r="G56" s="521"/>
      <c r="M56" s="527"/>
      <c r="O56" s="527"/>
      <c r="P56" s="527"/>
      <c r="Q56" s="527"/>
      <c r="R56" s="527"/>
      <c r="S56" s="527"/>
      <c r="T56" s="527"/>
      <c r="U56" s="527"/>
      <c r="V56" s="555"/>
      <c r="W56" s="555"/>
      <c r="X56" s="555"/>
      <c r="Y56" s="555"/>
    </row>
    <row r="57" spans="1:28" ht="14.1" customHeight="1">
      <c r="B57" s="516"/>
      <c r="C57" s="516"/>
      <c r="D57" s="516"/>
      <c r="E57" s="516"/>
      <c r="H57" s="574"/>
      <c r="I57" s="575"/>
      <c r="J57" s="575"/>
      <c r="K57" s="575"/>
      <c r="L57" s="575"/>
      <c r="M57" s="567"/>
      <c r="N57" s="555"/>
      <c r="O57" s="527"/>
      <c r="P57" s="527"/>
      <c r="Q57" s="527"/>
      <c r="R57" s="527"/>
      <c r="S57" s="527"/>
      <c r="T57" s="527"/>
      <c r="U57" s="567"/>
    </row>
    <row r="58" spans="1:28" ht="14.1" customHeight="1">
      <c r="A58" s="576" t="str">
        <f>BS!A43</f>
        <v>The annexed notes 1 to 17 form an integral part of these condensed interim financial information.</v>
      </c>
      <c r="B58" s="577"/>
      <c r="C58" s="577"/>
      <c r="D58" s="577"/>
      <c r="E58" s="577"/>
      <c r="F58" s="577"/>
      <c r="G58" s="578"/>
      <c r="H58" s="579"/>
      <c r="I58" s="579"/>
      <c r="J58" s="579"/>
      <c r="K58" s="579"/>
      <c r="L58" s="579"/>
      <c r="M58" s="567"/>
      <c r="N58" s="555"/>
      <c r="O58" s="527"/>
      <c r="P58" s="527"/>
      <c r="Q58" s="527"/>
      <c r="R58" s="527"/>
      <c r="S58" s="527"/>
      <c r="T58" s="527"/>
      <c r="U58" s="567"/>
    </row>
    <row r="59" spans="1:28" hidden="1">
      <c r="A59" s="577"/>
      <c r="B59" s="577"/>
      <c r="C59" s="577"/>
      <c r="D59" s="577"/>
      <c r="E59" s="577"/>
      <c r="F59" s="577"/>
      <c r="G59" s="578"/>
      <c r="H59" s="579"/>
      <c r="I59" s="579"/>
      <c r="J59" s="579"/>
      <c r="K59" s="579"/>
      <c r="L59" s="579"/>
      <c r="M59" s="527"/>
      <c r="O59" s="527"/>
      <c r="P59" s="527"/>
      <c r="Q59" s="527"/>
      <c r="R59" s="527"/>
      <c r="S59" s="527"/>
      <c r="T59" s="527"/>
      <c r="U59" s="527"/>
    </row>
    <row r="60" spans="1:28">
      <c r="A60" s="577"/>
      <c r="B60" s="577"/>
      <c r="C60" s="577"/>
      <c r="D60" s="577"/>
      <c r="E60" s="577"/>
      <c r="F60" s="577"/>
      <c r="G60" s="578"/>
      <c r="H60" s="579"/>
      <c r="I60" s="579"/>
      <c r="J60" s="579"/>
      <c r="K60" s="579"/>
      <c r="L60" s="579"/>
      <c r="M60" s="527"/>
      <c r="O60" s="527"/>
      <c r="P60" s="527"/>
      <c r="Q60" s="527"/>
      <c r="R60" s="527"/>
      <c r="S60" s="527"/>
      <c r="T60" s="527"/>
      <c r="U60" s="527"/>
    </row>
    <row r="61" spans="1:28">
      <c r="A61" s="577"/>
      <c r="B61" s="577"/>
      <c r="C61" s="577"/>
      <c r="D61" s="577"/>
      <c r="E61" s="577"/>
      <c r="F61" s="577"/>
      <c r="G61" s="578"/>
      <c r="H61" s="579"/>
      <c r="I61" s="579"/>
      <c r="J61" s="579"/>
      <c r="K61" s="579"/>
      <c r="L61" s="579"/>
      <c r="M61" s="527"/>
    </row>
    <row r="62" spans="1:28">
      <c r="A62" s="1108" t="str">
        <f>Cashflow!A58</f>
        <v>MCB-Arif Habib Savings and Investments Limited</v>
      </c>
      <c r="B62" s="1108"/>
      <c r="C62" s="1108"/>
      <c r="D62" s="1108"/>
      <c r="E62" s="1108"/>
      <c r="F62" s="1108"/>
      <c r="G62" s="1108"/>
      <c r="H62" s="1108"/>
      <c r="I62" s="1108"/>
      <c r="J62" s="1108"/>
      <c r="K62" s="1108"/>
      <c r="L62" s="1108"/>
      <c r="M62" s="527"/>
    </row>
    <row r="63" spans="1:28">
      <c r="A63" s="1108" t="str">
        <f>Cashflow!A59</f>
        <v>(Management Company)</v>
      </c>
      <c r="B63" s="1108"/>
      <c r="C63" s="1108"/>
      <c r="D63" s="1108"/>
      <c r="E63" s="1108"/>
      <c r="F63" s="1108"/>
      <c r="G63" s="1108"/>
      <c r="H63" s="1108"/>
      <c r="I63" s="1108"/>
      <c r="J63" s="1108"/>
      <c r="K63" s="1108"/>
      <c r="L63" s="1108"/>
      <c r="M63" s="527"/>
    </row>
    <row r="64" spans="1:28" s="577" customFormat="1" ht="14.1" customHeight="1">
      <c r="A64" s="580"/>
      <c r="B64" s="581"/>
      <c r="C64" s="581"/>
      <c r="D64" s="581"/>
      <c r="E64" s="581"/>
      <c r="F64" s="581"/>
      <c r="G64" s="581"/>
      <c r="H64" s="581"/>
      <c r="I64" s="581"/>
      <c r="J64" s="580"/>
      <c r="K64" s="580"/>
      <c r="L64" s="580"/>
      <c r="M64" s="527"/>
      <c r="N64" s="512"/>
      <c r="O64" s="555"/>
      <c r="P64" s="555"/>
      <c r="Q64" s="555"/>
      <c r="R64" s="555"/>
      <c r="S64" s="555"/>
      <c r="T64" s="555"/>
      <c r="U64" s="512"/>
      <c r="V64" s="512"/>
      <c r="W64" s="512"/>
      <c r="X64" s="512"/>
      <c r="Y64" s="512"/>
      <c r="Z64" s="512"/>
      <c r="AA64" s="512"/>
      <c r="AB64" s="512"/>
    </row>
    <row r="65" spans="1:28" s="577" customFormat="1" ht="14.1" customHeight="1">
      <c r="A65" s="580"/>
      <c r="B65" s="581"/>
      <c r="C65" s="581"/>
      <c r="D65" s="581"/>
      <c r="E65" s="581"/>
      <c r="F65" s="581"/>
      <c r="G65" s="581"/>
      <c r="H65" s="581"/>
      <c r="I65" s="581"/>
      <c r="J65" s="580"/>
      <c r="K65" s="580"/>
      <c r="L65" s="580"/>
      <c r="M65" s="527"/>
      <c r="N65" s="512"/>
      <c r="O65" s="555"/>
      <c r="P65" s="555"/>
      <c r="Q65" s="555"/>
      <c r="R65" s="555"/>
      <c r="S65" s="555"/>
      <c r="T65" s="555"/>
      <c r="U65" s="512"/>
      <c r="V65" s="512"/>
      <c r="W65" s="512"/>
      <c r="X65" s="512"/>
      <c r="Y65" s="512"/>
      <c r="Z65" s="512"/>
      <c r="AA65" s="512"/>
      <c r="AB65" s="512"/>
    </row>
    <row r="66" spans="1:28" s="577" customFormat="1" ht="14.1" customHeight="1">
      <c r="A66" s="580"/>
      <c r="B66" s="581"/>
      <c r="C66" s="581"/>
      <c r="D66" s="581"/>
      <c r="E66" s="581"/>
      <c r="F66" s="581"/>
      <c r="G66" s="581"/>
      <c r="H66" s="581"/>
      <c r="I66" s="581"/>
      <c r="J66" s="580"/>
      <c r="K66" s="580"/>
      <c r="L66" s="580"/>
      <c r="M66" s="527"/>
      <c r="N66" s="512"/>
      <c r="O66" s="555"/>
      <c r="P66" s="555"/>
      <c r="Q66" s="555"/>
      <c r="R66" s="555"/>
      <c r="S66" s="555"/>
      <c r="T66" s="555"/>
      <c r="U66" s="512"/>
      <c r="V66" s="512"/>
      <c r="W66" s="512"/>
      <c r="X66" s="512"/>
      <c r="Y66" s="512"/>
      <c r="Z66" s="512"/>
      <c r="AA66" s="512"/>
      <c r="AB66" s="512"/>
    </row>
    <row r="67" spans="1:28" s="577" customFormat="1" ht="14.1" customHeight="1">
      <c r="A67" s="580"/>
      <c r="B67" s="581"/>
      <c r="C67" s="581"/>
      <c r="D67" s="581"/>
      <c r="E67" s="581"/>
      <c r="F67" s="581"/>
      <c r="G67" s="581"/>
      <c r="H67" s="581"/>
      <c r="I67" s="581"/>
      <c r="J67" s="580"/>
      <c r="K67" s="580"/>
      <c r="L67" s="580"/>
      <c r="M67" s="527"/>
      <c r="N67" s="512"/>
      <c r="O67" s="555"/>
      <c r="P67" s="555"/>
      <c r="Q67" s="555"/>
      <c r="R67" s="555"/>
      <c r="S67" s="555"/>
      <c r="T67" s="555"/>
      <c r="U67" s="512"/>
      <c r="V67" s="512"/>
      <c r="W67" s="512"/>
      <c r="X67" s="512"/>
      <c r="Y67" s="512"/>
      <c r="Z67" s="512"/>
    </row>
    <row r="68" spans="1:28" s="580" customFormat="1" ht="14.1" customHeight="1">
      <c r="A68" s="582"/>
      <c r="B68" s="583"/>
      <c r="C68" s="583"/>
      <c r="D68" s="583"/>
      <c r="E68" s="583"/>
      <c r="F68" s="583"/>
      <c r="G68" s="583"/>
      <c r="H68" s="583"/>
      <c r="I68" s="583"/>
      <c r="J68" s="583"/>
      <c r="K68" s="583"/>
      <c r="L68" s="583"/>
      <c r="M68" s="527"/>
      <c r="N68" s="512"/>
      <c r="O68" s="512"/>
      <c r="P68" s="512"/>
      <c r="Q68" s="512"/>
      <c r="R68" s="512"/>
      <c r="S68" s="512"/>
      <c r="T68" s="512"/>
      <c r="U68" s="512"/>
      <c r="V68" s="512"/>
      <c r="W68" s="512"/>
      <c r="X68" s="512"/>
      <c r="Y68" s="512"/>
      <c r="Z68" s="577"/>
      <c r="AA68" s="577"/>
      <c r="AB68" s="577"/>
    </row>
    <row r="69" spans="1:28" s="580" customFormat="1" ht="14.1" customHeight="1">
      <c r="A69" s="582"/>
      <c r="B69" s="583"/>
      <c r="C69" s="583"/>
      <c r="D69" s="583"/>
      <c r="E69" s="583"/>
      <c r="F69" s="583"/>
      <c r="G69" s="583"/>
      <c r="H69" s="583"/>
      <c r="I69" s="583"/>
      <c r="J69" s="583"/>
      <c r="K69" s="583"/>
      <c r="L69" s="583"/>
      <c r="M69" s="527"/>
      <c r="N69" s="512"/>
      <c r="O69" s="512"/>
      <c r="P69" s="512"/>
      <c r="Q69" s="512"/>
      <c r="R69" s="512"/>
      <c r="S69" s="512"/>
      <c r="T69" s="512"/>
      <c r="U69" s="512"/>
      <c r="V69" s="512"/>
      <c r="W69" s="512"/>
      <c r="X69" s="512"/>
      <c r="Y69" s="512"/>
      <c r="Z69" s="577"/>
    </row>
    <row r="70" spans="1:28" s="584" customFormat="1" ht="14.1" customHeight="1">
      <c r="A70" s="582"/>
      <c r="B70" s="583"/>
      <c r="C70" s="583"/>
      <c r="D70" s="583"/>
      <c r="E70" s="583"/>
      <c r="F70" s="583"/>
      <c r="G70" s="583"/>
      <c r="H70" s="583"/>
      <c r="I70" s="583"/>
      <c r="J70" s="583"/>
      <c r="K70" s="583"/>
      <c r="L70" s="583"/>
      <c r="M70" s="527"/>
      <c r="N70" s="512"/>
      <c r="O70" s="512"/>
      <c r="P70" s="512"/>
      <c r="Q70" s="512"/>
      <c r="R70" s="512"/>
      <c r="S70" s="512"/>
      <c r="T70" s="512"/>
      <c r="U70" s="512"/>
      <c r="V70" s="577"/>
      <c r="W70" s="577"/>
      <c r="X70" s="577"/>
      <c r="Y70" s="577"/>
      <c r="Z70" s="580"/>
      <c r="AA70" s="580"/>
      <c r="AB70" s="580"/>
    </row>
    <row r="71" spans="1:28" s="584" customFormat="1" ht="14.1" customHeight="1">
      <c r="A71" s="1093" t="s">
        <v>340</v>
      </c>
      <c r="B71" s="1093"/>
      <c r="C71" s="1093"/>
      <c r="D71" s="1096" t="s">
        <v>340</v>
      </c>
      <c r="E71" s="1096"/>
      <c r="F71" s="1096"/>
      <c r="G71" s="1096"/>
      <c r="H71" s="1096"/>
      <c r="I71" s="583"/>
      <c r="J71" s="583"/>
      <c r="K71" s="671" t="s">
        <v>342</v>
      </c>
      <c r="L71" s="583"/>
      <c r="M71" s="527"/>
      <c r="N71" s="512"/>
      <c r="O71" s="512"/>
      <c r="P71" s="512"/>
      <c r="Q71" s="512"/>
      <c r="R71" s="512"/>
      <c r="S71" s="512"/>
      <c r="T71" s="512"/>
      <c r="U71" s="512"/>
      <c r="V71" s="577"/>
      <c r="W71" s="577"/>
      <c r="X71" s="577"/>
      <c r="Y71" s="577"/>
      <c r="Z71" s="580"/>
    </row>
    <row r="72" spans="1:28" s="584" customFormat="1" ht="14.1" customHeight="1">
      <c r="A72" s="1092" t="s">
        <v>345</v>
      </c>
      <c r="B72" s="1092"/>
      <c r="C72" s="1092"/>
      <c r="D72" s="1092" t="s">
        <v>341</v>
      </c>
      <c r="E72" s="1092"/>
      <c r="F72" s="1092"/>
      <c r="G72" s="1092"/>
      <c r="H72" s="1092"/>
      <c r="K72" s="647" t="s">
        <v>343</v>
      </c>
      <c r="M72" s="577"/>
      <c r="N72" s="577"/>
      <c r="O72" s="512"/>
      <c r="P72" s="512"/>
      <c r="Q72" s="512"/>
      <c r="R72" s="512"/>
      <c r="S72" s="512"/>
      <c r="T72" s="512"/>
      <c r="U72" s="577"/>
      <c r="V72" s="580"/>
      <c r="W72" s="580"/>
      <c r="X72" s="580"/>
      <c r="Y72" s="580"/>
    </row>
    <row r="73" spans="1:28" s="584" customFormat="1">
      <c r="A73" s="585"/>
      <c r="B73" s="586"/>
      <c r="C73" s="586"/>
      <c r="D73" s="586"/>
      <c r="E73" s="587"/>
      <c r="F73" s="585"/>
      <c r="G73" s="585"/>
      <c r="H73" s="587"/>
      <c r="I73" s="585"/>
      <c r="J73" s="585"/>
      <c r="K73" s="585"/>
      <c r="L73" s="585"/>
      <c r="M73" s="577"/>
      <c r="N73" s="577"/>
      <c r="O73" s="512"/>
      <c r="P73" s="512"/>
      <c r="Q73" s="512"/>
      <c r="R73" s="512"/>
      <c r="S73" s="512"/>
      <c r="T73" s="512"/>
      <c r="U73" s="577"/>
      <c r="V73" s="580"/>
      <c r="W73" s="580"/>
      <c r="X73" s="580"/>
      <c r="Y73" s="580"/>
    </row>
    <row r="74" spans="1:28" s="584" customFormat="1">
      <c r="A74" s="588"/>
      <c r="B74" s="588"/>
      <c r="C74" s="588"/>
      <c r="D74" s="588"/>
      <c r="E74" s="588"/>
      <c r="F74" s="588"/>
      <c r="G74" s="588"/>
      <c r="H74" s="588"/>
      <c r="I74" s="588"/>
      <c r="J74" s="588"/>
      <c r="K74" s="588"/>
      <c r="L74" s="588"/>
      <c r="M74" s="580"/>
      <c r="N74" s="580"/>
      <c r="O74" s="512"/>
      <c r="P74" s="512"/>
      <c r="Q74" s="512"/>
      <c r="R74" s="512"/>
      <c r="S74" s="512"/>
      <c r="T74" s="512"/>
      <c r="U74" s="580"/>
    </row>
    <row r="75" spans="1:28" s="585" customFormat="1">
      <c r="A75" s="544"/>
      <c r="B75" s="512"/>
      <c r="C75" s="512"/>
      <c r="D75" s="512"/>
      <c r="E75" s="512"/>
      <c r="F75" s="589"/>
      <c r="G75" s="589"/>
      <c r="H75" s="590"/>
      <c r="I75" s="590"/>
      <c r="J75" s="590"/>
      <c r="K75" s="590"/>
      <c r="L75" s="590"/>
      <c r="M75" s="580"/>
      <c r="N75" s="580"/>
      <c r="O75" s="512"/>
      <c r="P75" s="512"/>
      <c r="Q75" s="512"/>
      <c r="R75" s="512"/>
      <c r="S75" s="512"/>
      <c r="T75" s="512"/>
      <c r="U75" s="580"/>
      <c r="V75" s="584"/>
      <c r="W75" s="584"/>
      <c r="X75" s="584"/>
      <c r="Y75" s="584"/>
      <c r="Z75" s="584"/>
      <c r="AA75" s="584"/>
      <c r="AB75" s="584"/>
    </row>
    <row r="76" spans="1:28" s="606" customFormat="1">
      <c r="A76" s="512"/>
      <c r="B76" s="512"/>
      <c r="C76" s="512"/>
      <c r="D76" s="512"/>
      <c r="E76" s="512"/>
      <c r="F76" s="573"/>
      <c r="G76" s="573"/>
      <c r="H76" s="566"/>
      <c r="I76" s="566"/>
      <c r="J76" s="566"/>
      <c r="K76" s="566"/>
      <c r="L76" s="566"/>
      <c r="M76" s="584"/>
      <c r="N76" s="584"/>
      <c r="O76" s="512"/>
      <c r="P76" s="512"/>
      <c r="Q76" s="512"/>
      <c r="R76" s="512"/>
      <c r="S76" s="512"/>
      <c r="T76" s="512"/>
      <c r="U76" s="584"/>
      <c r="V76" s="584"/>
      <c r="W76" s="584"/>
      <c r="X76" s="584"/>
      <c r="Y76" s="584"/>
      <c r="Z76" s="584"/>
      <c r="AA76" s="585"/>
      <c r="AB76" s="585"/>
    </row>
    <row r="77" spans="1:28" s="589" customFormat="1">
      <c r="A77" s="512" t="s">
        <v>130</v>
      </c>
      <c r="B77" s="512"/>
      <c r="C77" s="512"/>
      <c r="D77" s="512"/>
      <c r="E77" s="512"/>
      <c r="F77" s="573"/>
      <c r="G77" s="573"/>
      <c r="H77" s="512"/>
      <c r="I77" s="512"/>
      <c r="J77" s="512"/>
      <c r="K77" s="512"/>
      <c r="L77" s="512"/>
      <c r="M77" s="584"/>
      <c r="N77" s="584"/>
      <c r="O77" s="512"/>
      <c r="P77" s="512"/>
      <c r="Q77" s="512"/>
      <c r="R77" s="512"/>
      <c r="S77" s="512"/>
      <c r="T77" s="512"/>
      <c r="U77" s="584"/>
      <c r="V77" s="584"/>
      <c r="W77" s="584"/>
      <c r="X77" s="584"/>
      <c r="Y77" s="584"/>
      <c r="Z77" s="585"/>
      <c r="AA77" s="606"/>
      <c r="AB77" s="606"/>
    </row>
    <row r="78" spans="1:28">
      <c r="M78" s="584"/>
      <c r="N78" s="584"/>
      <c r="T78" s="577"/>
      <c r="U78" s="584"/>
      <c r="V78" s="584"/>
      <c r="W78" s="584"/>
      <c r="X78" s="584"/>
      <c r="Y78" s="584"/>
      <c r="Z78" s="606"/>
      <c r="AA78" s="589"/>
      <c r="AB78" s="589"/>
    </row>
    <row r="79" spans="1:28">
      <c r="M79" s="584"/>
      <c r="N79" s="584"/>
      <c r="O79" s="577"/>
      <c r="P79" s="577"/>
      <c r="Q79" s="577"/>
      <c r="R79" s="577"/>
      <c r="S79" s="577"/>
      <c r="T79" s="577"/>
      <c r="U79" s="584"/>
      <c r="V79" s="585"/>
      <c r="W79" s="585"/>
      <c r="X79" s="585"/>
      <c r="Y79" s="585"/>
      <c r="Z79" s="589"/>
    </row>
    <row r="80" spans="1:28">
      <c r="M80" s="584"/>
      <c r="N80" s="584"/>
      <c r="O80" s="577"/>
      <c r="P80" s="577"/>
      <c r="Q80" s="577"/>
      <c r="R80" s="577"/>
      <c r="S80" s="577"/>
      <c r="T80" s="580"/>
      <c r="U80" s="584"/>
      <c r="V80" s="606"/>
      <c r="W80" s="606"/>
      <c r="X80" s="606"/>
      <c r="Y80" s="606"/>
    </row>
    <row r="81" spans="6:25">
      <c r="M81" s="585"/>
      <c r="N81" s="585"/>
      <c r="O81" s="577"/>
      <c r="P81" s="577"/>
      <c r="Q81" s="577"/>
      <c r="R81" s="577"/>
      <c r="S81" s="577"/>
      <c r="T81" s="580"/>
      <c r="U81" s="585"/>
      <c r="V81" s="589"/>
      <c r="W81" s="589"/>
      <c r="X81" s="589"/>
      <c r="Y81" s="589"/>
    </row>
    <row r="82" spans="6:25">
      <c r="M82" s="606"/>
      <c r="N82" s="606"/>
      <c r="O82" s="580"/>
      <c r="P82" s="580"/>
      <c r="Q82" s="580"/>
      <c r="R82" s="580"/>
      <c r="S82" s="580"/>
      <c r="T82" s="580"/>
      <c r="U82" s="606"/>
    </row>
    <row r="83" spans="6:25">
      <c r="M83" s="589"/>
      <c r="N83" s="589"/>
      <c r="O83" s="580"/>
      <c r="P83" s="580"/>
      <c r="Q83" s="580"/>
      <c r="R83" s="580"/>
      <c r="S83" s="580"/>
      <c r="T83" s="584"/>
      <c r="U83" s="589"/>
    </row>
    <row r="84" spans="6:25">
      <c r="M84" s="527"/>
      <c r="O84" s="584"/>
      <c r="P84" s="584"/>
      <c r="Q84" s="584"/>
      <c r="R84" s="584"/>
      <c r="S84" s="584"/>
      <c r="T84" s="584"/>
    </row>
    <row r="85" spans="6:25">
      <c r="M85" s="527"/>
      <c r="O85" s="584"/>
      <c r="P85" s="584"/>
      <c r="Q85" s="584"/>
      <c r="R85" s="584"/>
      <c r="S85" s="584"/>
      <c r="T85" s="584"/>
    </row>
    <row r="86" spans="6:25">
      <c r="M86" s="527"/>
      <c r="O86" s="584"/>
      <c r="P86" s="584"/>
      <c r="Q86" s="584"/>
      <c r="R86" s="584"/>
      <c r="S86" s="584"/>
      <c r="T86" s="584"/>
    </row>
    <row r="87" spans="6:25">
      <c r="F87" s="512"/>
      <c r="G87" s="512"/>
      <c r="M87" s="527"/>
      <c r="O87" s="584"/>
      <c r="P87" s="584"/>
      <c r="Q87" s="584"/>
      <c r="R87" s="584"/>
      <c r="S87" s="584"/>
      <c r="T87" s="585"/>
    </row>
    <row r="88" spans="6:25">
      <c r="F88" s="512"/>
      <c r="G88" s="512"/>
      <c r="M88" s="527"/>
      <c r="O88" s="585"/>
      <c r="P88" s="585"/>
      <c r="Q88" s="585"/>
      <c r="R88" s="585"/>
      <c r="S88" s="585"/>
      <c r="T88" s="606"/>
    </row>
    <row r="89" spans="6:25">
      <c r="M89" s="527"/>
      <c r="O89" s="606"/>
      <c r="P89" s="606"/>
      <c r="Q89" s="606"/>
      <c r="R89" s="606"/>
      <c r="S89" s="606"/>
      <c r="T89" s="589"/>
    </row>
    <row r="90" spans="6:25">
      <c r="M90" s="527"/>
      <c r="O90" s="589"/>
      <c r="P90" s="589"/>
      <c r="Q90" s="589"/>
      <c r="R90" s="589"/>
      <c r="S90" s="589"/>
    </row>
    <row r="91" spans="6:25">
      <c r="M91" s="527"/>
    </row>
    <row r="92" spans="6:25">
      <c r="M92" s="527"/>
    </row>
    <row r="93" spans="6:25">
      <c r="M93" s="527"/>
    </row>
    <row r="94" spans="6:25">
      <c r="M94" s="527"/>
    </row>
    <row r="95" spans="6:25">
      <c r="M95" s="527"/>
    </row>
    <row r="96" spans="6:25">
      <c r="M96" s="527"/>
    </row>
    <row r="390" spans="2:7">
      <c r="B390" s="512" t="s">
        <v>131</v>
      </c>
      <c r="F390" s="512"/>
      <c r="G390" s="512"/>
    </row>
  </sheetData>
  <mergeCells count="9">
    <mergeCell ref="A71:C71"/>
    <mergeCell ref="A72:C72"/>
    <mergeCell ref="D71:H71"/>
    <mergeCell ref="D72:H72"/>
    <mergeCell ref="F8:L8"/>
    <mergeCell ref="F10:H10"/>
    <mergeCell ref="J10:L10"/>
    <mergeCell ref="A62:L62"/>
    <mergeCell ref="A63:L63"/>
  </mergeCells>
  <pageMargins left="0.75" right="0.5" top="0.75" bottom="0.5" header="0.4" footer="0.2"/>
  <pageSetup paperSize="9" scale="68" orientation="portrait" r:id="rId1"/>
  <headerFooter alignWithMargins="0"/>
  <rowBreaks count="1" manualBreakCount="1">
    <brk id="93" max="9" man="1"/>
  </rowBreaks>
  <ignoredErrors>
    <ignoredError sqref="A4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
  <sheetViews>
    <sheetView workbookViewId="0">
      <selection activeCell="L11" sqref="L11"/>
    </sheetView>
  </sheetViews>
  <sheetFormatPr defaultRowHeight="14.4"/>
  <cols>
    <col min="1" max="1" width="8.5546875" bestFit="1" customWidth="1"/>
    <col min="2" max="2" width="19.109375" bestFit="1" customWidth="1"/>
    <col min="3" max="3" width="8.88671875" bestFit="1" customWidth="1"/>
    <col min="4" max="4" width="17" bestFit="1" customWidth="1"/>
    <col min="5" max="5" width="14.109375" bestFit="1" customWidth="1"/>
    <col min="6" max="6" width="11.109375" bestFit="1" customWidth="1"/>
    <col min="7" max="7" width="13.109375" bestFit="1" customWidth="1"/>
    <col min="8" max="8" width="4" bestFit="1" customWidth="1"/>
    <col min="9" max="9" width="17.88671875" bestFit="1" customWidth="1"/>
    <col min="10" max="11" width="11.109375" bestFit="1" customWidth="1"/>
    <col min="12" max="12" width="14.88671875" bestFit="1" customWidth="1"/>
    <col min="13" max="13" width="11.5546875" bestFit="1" customWidth="1"/>
    <col min="14" max="14" width="11.109375" bestFit="1" customWidth="1"/>
    <col min="15" max="15" width="11.5546875" bestFit="1" customWidth="1"/>
  </cols>
  <sheetData>
    <row r="1" spans="2:16">
      <c r="B1" s="8" t="s">
        <v>152</v>
      </c>
    </row>
    <row r="3" spans="2:16">
      <c r="B3" s="9" t="s">
        <v>153</v>
      </c>
      <c r="D3" s="9" t="s">
        <v>93</v>
      </c>
      <c r="E3" s="9" t="s">
        <v>92</v>
      </c>
    </row>
    <row r="4" spans="2:16">
      <c r="B4" s="10" t="s">
        <v>154</v>
      </c>
      <c r="D4" s="9"/>
      <c r="E4" s="9"/>
    </row>
    <row r="5" spans="2:16">
      <c r="B5" s="11" t="s">
        <v>155</v>
      </c>
      <c r="E5" s="12">
        <v>0.114</v>
      </c>
    </row>
    <row r="6" spans="2:16">
      <c r="B6" s="11" t="s">
        <v>156</v>
      </c>
      <c r="D6" s="13">
        <v>14508.19</v>
      </c>
      <c r="E6" s="12">
        <v>141.99850000000001</v>
      </c>
    </row>
    <row r="7" spans="2:16" ht="15" thickBot="1">
      <c r="B7" s="11" t="s">
        <v>157</v>
      </c>
      <c r="D7" s="13">
        <v>6540.29</v>
      </c>
      <c r="E7" s="12">
        <v>64.038700000000006</v>
      </c>
      <c r="G7" s="4" t="s">
        <v>158</v>
      </c>
    </row>
    <row r="8" spans="2:16">
      <c r="B8" s="11" t="s">
        <v>159</v>
      </c>
      <c r="D8" s="13">
        <v>10850.57</v>
      </c>
      <c r="E8" s="12">
        <v>106.2717</v>
      </c>
      <c r="G8" s="14" t="s">
        <v>160</v>
      </c>
      <c r="H8" s="15"/>
      <c r="I8" s="16">
        <v>102.10209999999999</v>
      </c>
    </row>
    <row r="9" spans="2:16">
      <c r="B9" s="11" t="s">
        <v>161</v>
      </c>
      <c r="D9" s="13">
        <v>971152.12</v>
      </c>
      <c r="E9" s="13">
        <v>9506.3456999999999</v>
      </c>
      <c r="G9" s="17" t="s">
        <v>71</v>
      </c>
      <c r="H9" s="18"/>
      <c r="I9" s="19">
        <f>I8*E10</f>
        <v>1002516.8934740599</v>
      </c>
      <c r="J9" s="35">
        <f>I9/1000</f>
        <v>1002.5168934740599</v>
      </c>
      <c r="K9">
        <f>'UHF New'!H15</f>
        <v>13587726.275870003</v>
      </c>
      <c r="L9" t="s">
        <v>173</v>
      </c>
    </row>
    <row r="10" spans="2:16" ht="15" thickBot="1">
      <c r="B10" s="11"/>
      <c r="D10" s="20">
        <f>SUM(D5:D9)</f>
        <v>1003051.17</v>
      </c>
      <c r="E10" s="20">
        <f>SUM(E5:E9)</f>
        <v>9818.7685999999994</v>
      </c>
      <c r="G10" s="17" t="s">
        <v>162</v>
      </c>
      <c r="H10" s="18"/>
      <c r="I10" s="19">
        <f>D10</f>
        <v>1003051.17</v>
      </c>
      <c r="J10" s="35">
        <f>I10/1000</f>
        <v>1003.0511700000001</v>
      </c>
      <c r="K10">
        <f>'UHF New'!H17</f>
        <v>13587726.275870003</v>
      </c>
      <c r="L10" t="s">
        <v>173</v>
      </c>
    </row>
    <row r="11" spans="2:16" ht="15.6" thickTop="1" thickBot="1">
      <c r="B11" s="21" t="s">
        <v>163</v>
      </c>
      <c r="D11" s="13"/>
      <c r="E11" s="13"/>
      <c r="G11" s="22" t="s">
        <v>164</v>
      </c>
      <c r="H11" s="18"/>
      <c r="I11" s="23">
        <f>I10-I9</f>
        <v>534.27652594016399</v>
      </c>
      <c r="J11" s="35">
        <f>I11/1000</f>
        <v>0.53427652594016395</v>
      </c>
      <c r="L11" t="s">
        <v>172</v>
      </c>
    </row>
    <row r="12" spans="2:16" ht="15.6" thickTop="1" thickBot="1">
      <c r="B12" s="11" t="s">
        <v>165</v>
      </c>
      <c r="D12" s="24">
        <v>-40576233.740000002</v>
      </c>
      <c r="E12" s="24">
        <v>-397072.33350000001</v>
      </c>
      <c r="G12" s="25" t="s">
        <v>166</v>
      </c>
      <c r="H12" s="26"/>
      <c r="I12" s="27">
        <f>I11/1000</f>
        <v>0.53427652594016395</v>
      </c>
      <c r="M12" s="4" t="s">
        <v>103</v>
      </c>
      <c r="N12" s="4" t="s">
        <v>150</v>
      </c>
      <c r="O12" s="4" t="s">
        <v>167</v>
      </c>
    </row>
    <row r="13" spans="2:16">
      <c r="B13" s="11" t="s">
        <v>168</v>
      </c>
      <c r="D13" s="24">
        <v>-34018046.420000002</v>
      </c>
      <c r="E13" s="24">
        <v>-332749.42739999999</v>
      </c>
      <c r="K13" s="1109" t="s">
        <v>169</v>
      </c>
      <c r="L13" s="1109"/>
      <c r="M13" s="28">
        <v>2527</v>
      </c>
      <c r="N13" s="28">
        <v>75429</v>
      </c>
      <c r="O13" s="28">
        <f>N13+M13</f>
        <v>77956</v>
      </c>
      <c r="P13" s="35">
        <f>O13/1000</f>
        <v>77.956000000000003</v>
      </c>
    </row>
    <row r="14" spans="2:16" ht="15" thickBot="1">
      <c r="B14" s="11" t="s">
        <v>170</v>
      </c>
      <c r="D14" s="24">
        <v>-971152.12</v>
      </c>
      <c r="E14" s="24">
        <v>-9506.3456999999999</v>
      </c>
      <c r="M14" s="28"/>
      <c r="N14" s="28"/>
      <c r="O14" s="29">
        <f>O13/1000</f>
        <v>77.956000000000003</v>
      </c>
      <c r="P14" s="35"/>
    </row>
    <row r="15" spans="2:16" ht="15.6" thickTop="1" thickBot="1">
      <c r="D15" s="30">
        <f>SUM(D12:D14)</f>
        <v>-75565432.280000001</v>
      </c>
      <c r="E15" s="30">
        <f>SUM(E12:E14)</f>
        <v>-739328.10659999994</v>
      </c>
      <c r="P15" s="35"/>
    </row>
    <row r="16" spans="2:16" ht="15.6" thickTop="1" thickBot="1">
      <c r="G16" s="4" t="s">
        <v>171</v>
      </c>
      <c r="P16" s="35"/>
    </row>
    <row r="17" spans="7:15">
      <c r="G17" s="14" t="s">
        <v>160</v>
      </c>
      <c r="H17" s="15"/>
      <c r="I17" s="16">
        <v>102.10209999999999</v>
      </c>
      <c r="M17" s="4" t="s">
        <v>174</v>
      </c>
      <c r="O17" s="35">
        <f>ROUNDDOWN(I21+O14,0)</f>
        <v>0</v>
      </c>
    </row>
    <row r="18" spans="7:15">
      <c r="G18" s="17" t="s">
        <v>71</v>
      </c>
      <c r="H18" s="18"/>
      <c r="I18" s="31">
        <f>I17*E15</f>
        <v>-75486952.272883847</v>
      </c>
      <c r="J18" s="35">
        <f>I18/1000</f>
        <v>-75486.952272883849</v>
      </c>
      <c r="K18" s="28">
        <f>'UHF New'!H20</f>
        <v>-19279698.025599997</v>
      </c>
      <c r="L18" t="s">
        <v>172</v>
      </c>
    </row>
    <row r="19" spans="7:15">
      <c r="G19" s="17" t="s">
        <v>137</v>
      </c>
      <c r="H19" s="18"/>
      <c r="I19" s="32">
        <f>D15</f>
        <v>-75565432.280000001</v>
      </c>
      <c r="J19" s="35">
        <f>I19/1000</f>
        <v>-75565.432280000008</v>
      </c>
      <c r="K19" s="28">
        <f>'UHF New'!H23</f>
        <v>-19279698.025599997</v>
      </c>
      <c r="L19" t="s">
        <v>173</v>
      </c>
    </row>
    <row r="20" spans="7:15" ht="15" thickBot="1">
      <c r="G20" s="22" t="s">
        <v>164</v>
      </c>
      <c r="H20" s="18"/>
      <c r="I20" s="33">
        <f>I19-I18</f>
        <v>-78480.007116153836</v>
      </c>
      <c r="J20" s="35">
        <f>I20/1000</f>
        <v>-78.480007116153843</v>
      </c>
      <c r="K20" s="28">
        <f>'UHF New'!G23</f>
        <v>0</v>
      </c>
      <c r="L20" t="s">
        <v>172</v>
      </c>
    </row>
    <row r="21" spans="7:15" ht="15.6" thickTop="1" thickBot="1">
      <c r="G21" s="25" t="s">
        <v>166</v>
      </c>
      <c r="H21" s="26"/>
      <c r="I21" s="34">
        <f>I20/1000</f>
        <v>-78.480007116153843</v>
      </c>
    </row>
  </sheetData>
  <mergeCells count="1">
    <mergeCell ref="K13:L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T73"/>
  <sheetViews>
    <sheetView showGridLines="0" view="pageBreakPreview" topLeftCell="A32" zoomScaleNormal="90" zoomScaleSheetLayoutView="100" workbookViewId="0">
      <selection activeCell="H35" sqref="H35"/>
    </sheetView>
  </sheetViews>
  <sheetFormatPr defaultColWidth="9.109375" defaultRowHeight="13.2"/>
  <cols>
    <col min="1" max="1" width="9.44140625" style="46" bestFit="1" customWidth="1"/>
    <col min="2" max="2" width="9.109375" style="46"/>
    <col min="3" max="3" width="14.5546875" style="46" customWidth="1"/>
    <col min="4" max="6" width="13.109375" style="46" customWidth="1"/>
    <col min="7" max="7" width="12.5546875" style="46" customWidth="1"/>
    <col min="8" max="8" width="13" style="46" customWidth="1"/>
    <col min="9" max="9" width="0.88671875" style="46" customWidth="1"/>
    <col min="10" max="10" width="13" style="46" customWidth="1"/>
    <col min="11" max="11" width="0.88671875" style="46" customWidth="1"/>
    <col min="12" max="12" width="12.44140625" style="129" bestFit="1" customWidth="1"/>
    <col min="13" max="13" width="10.44140625" style="129" bestFit="1" customWidth="1"/>
    <col min="14" max="16" width="11.44140625" style="129" bestFit="1" customWidth="1"/>
    <col min="17" max="17" width="13.44140625" style="129" bestFit="1" customWidth="1"/>
    <col min="18" max="18" width="9.88671875" style="129" bestFit="1" customWidth="1"/>
    <col min="19" max="19" width="9.5546875" style="129" bestFit="1" customWidth="1"/>
    <col min="20" max="30" width="9.109375" style="129" customWidth="1"/>
    <col min="31" max="31" width="2.44140625" style="129" customWidth="1"/>
    <col min="32" max="16384" width="9.109375" style="129"/>
  </cols>
  <sheetData>
    <row r="1" spans="1:12" s="46" customFormat="1" ht="20.399999999999999">
      <c r="A1" s="640" t="str">
        <f>BS!A1</f>
        <v xml:space="preserve">Alhamra Islamic Money Market Fund </v>
      </c>
      <c r="B1" s="672"/>
      <c r="C1" s="672"/>
      <c r="D1" s="672"/>
      <c r="E1" s="672"/>
      <c r="F1" s="672"/>
      <c r="G1" s="672"/>
      <c r="H1" s="672"/>
      <c r="I1" s="672"/>
      <c r="J1" s="674"/>
      <c r="K1" s="672"/>
      <c r="L1" s="675"/>
    </row>
    <row r="2" spans="1:12" ht="17.399999999999999">
      <c r="A2" s="641" t="s">
        <v>314</v>
      </c>
      <c r="B2" s="672"/>
      <c r="C2" s="672"/>
      <c r="D2" s="672"/>
      <c r="E2" s="672"/>
      <c r="F2" s="672"/>
      <c r="G2" s="672"/>
      <c r="H2" s="672"/>
      <c r="I2" s="672"/>
      <c r="J2" s="674"/>
      <c r="K2" s="672"/>
      <c r="L2" s="675"/>
    </row>
    <row r="3" spans="1:12">
      <c r="A3" s="642" t="s">
        <v>507</v>
      </c>
      <c r="B3" s="672"/>
      <c r="C3" s="44"/>
      <c r="D3" s="44"/>
      <c r="E3" s="44"/>
      <c r="F3" s="44"/>
      <c r="G3" s="44"/>
      <c r="H3" s="44"/>
      <c r="I3" s="45"/>
      <c r="J3" s="45"/>
      <c r="K3" s="45"/>
      <c r="L3" s="676"/>
    </row>
    <row r="4" spans="1:12" ht="14.1" customHeight="1">
      <c r="A4" s="290"/>
      <c r="B4" s="291"/>
      <c r="C4" s="291"/>
      <c r="D4" s="291"/>
      <c r="E4" s="291"/>
      <c r="F4" s="291"/>
      <c r="G4" s="291"/>
      <c r="H4" s="291"/>
      <c r="I4" s="291"/>
      <c r="J4" s="292"/>
      <c r="K4" s="291"/>
      <c r="L4" s="293"/>
    </row>
    <row r="5" spans="1:12" ht="14.1" customHeight="1">
      <c r="A5" s="290"/>
      <c r="B5" s="291"/>
      <c r="C5" s="291"/>
      <c r="D5" s="291"/>
      <c r="E5" s="291"/>
      <c r="F5" s="291"/>
      <c r="G5" s="291"/>
      <c r="H5" s="291"/>
      <c r="I5" s="291"/>
      <c r="J5" s="292"/>
      <c r="K5" s="291"/>
      <c r="L5" s="293"/>
    </row>
    <row r="6" spans="1:12" ht="14.1" customHeight="1">
      <c r="A6" s="290"/>
      <c r="B6" s="291"/>
      <c r="C6" s="294"/>
      <c r="D6" s="294"/>
      <c r="E6" s="294"/>
      <c r="F6" s="294"/>
      <c r="G6" s="294"/>
      <c r="H6" s="650"/>
      <c r="I6" s="650"/>
      <c r="J6" s="808"/>
      <c r="K6" s="291"/>
      <c r="L6" s="296"/>
    </row>
    <row r="7" spans="1:12" ht="14.1" customHeight="1">
      <c r="A7" s="290"/>
      <c r="B7" s="291"/>
      <c r="C7" s="294"/>
      <c r="D7" s="294"/>
      <c r="E7" s="294"/>
      <c r="F7" s="294"/>
      <c r="G7" s="294"/>
      <c r="H7" s="297" t="s">
        <v>387</v>
      </c>
      <c r="I7" s="297"/>
      <c r="J7" s="800" t="s">
        <v>387</v>
      </c>
      <c r="L7" s="298"/>
    </row>
    <row r="8" spans="1:12" ht="14.1" customHeight="1">
      <c r="A8" s="290"/>
      <c r="B8" s="291"/>
      <c r="C8" s="294"/>
      <c r="D8" s="294"/>
      <c r="E8" s="294"/>
      <c r="F8" s="294"/>
      <c r="G8" s="634" t="s">
        <v>1</v>
      </c>
      <c r="H8" s="299">
        <v>2022</v>
      </c>
      <c r="I8" s="300"/>
      <c r="J8" s="673">
        <v>2021</v>
      </c>
      <c r="K8" s="301"/>
      <c r="L8" s="302">
        <v>43373</v>
      </c>
    </row>
    <row r="9" spans="1:12" ht="14.1" customHeight="1">
      <c r="A9" s="291"/>
      <c r="B9" s="291"/>
      <c r="C9" s="291"/>
      <c r="D9" s="291"/>
      <c r="E9" s="291"/>
      <c r="F9" s="291"/>
      <c r="G9" s="291"/>
      <c r="H9" s="1110" t="s">
        <v>61</v>
      </c>
      <c r="I9" s="1111"/>
      <c r="J9" s="1111"/>
      <c r="K9" s="1111"/>
      <c r="L9" s="303"/>
    </row>
    <row r="10" spans="1:12" ht="14.1" customHeight="1">
      <c r="A10" s="290" t="s">
        <v>25</v>
      </c>
      <c r="B10" s="291"/>
      <c r="C10" s="291"/>
      <c r="D10" s="291"/>
      <c r="E10" s="291"/>
      <c r="F10" s="291"/>
      <c r="G10" s="291"/>
      <c r="H10" s="304"/>
      <c r="I10" s="304"/>
      <c r="J10" s="305"/>
      <c r="K10" s="291"/>
      <c r="L10" s="306"/>
    </row>
    <row r="11" spans="1:12" ht="14.1" customHeight="1">
      <c r="A11" s="290"/>
      <c r="B11" s="291"/>
      <c r="C11" s="291"/>
      <c r="D11" s="291"/>
      <c r="E11" s="291"/>
      <c r="F11" s="291"/>
      <c r="G11" s="291"/>
      <c r="H11" s="304"/>
      <c r="I11" s="304"/>
      <c r="J11" s="305"/>
      <c r="K11" s="291"/>
      <c r="L11" s="306"/>
    </row>
    <row r="12" spans="1:12" ht="14.1" customHeight="1">
      <c r="A12" s="307" t="s">
        <v>20</v>
      </c>
      <c r="B12" s="291"/>
      <c r="C12" s="292"/>
      <c r="D12" s="292"/>
      <c r="E12" s="292"/>
      <c r="F12" s="292"/>
      <c r="G12" s="292"/>
      <c r="H12" s="308">
        <f>ROUND(IS!F47,0)</f>
        <v>884273</v>
      </c>
      <c r="I12" s="309"/>
      <c r="J12" s="310">
        <f>ROUND(IS!H47,0)</f>
        <v>175581</v>
      </c>
      <c r="K12" s="310"/>
      <c r="L12" s="311"/>
    </row>
    <row r="13" spans="1:12" ht="14.1" customHeight="1">
      <c r="A13" s="291"/>
      <c r="B13" s="291"/>
      <c r="C13" s="292"/>
      <c r="D13" s="292"/>
      <c r="E13" s="292"/>
      <c r="F13" s="292"/>
      <c r="G13" s="292"/>
      <c r="H13" s="308"/>
      <c r="I13" s="309"/>
      <c r="J13" s="310"/>
      <c r="K13" s="310"/>
      <c r="L13" s="311"/>
    </row>
    <row r="14" spans="1:12" ht="14.1" customHeight="1">
      <c r="A14" s="290" t="s">
        <v>302</v>
      </c>
      <c r="B14" s="291"/>
      <c r="C14" s="292"/>
      <c r="D14" s="292"/>
      <c r="E14" s="292"/>
      <c r="F14" s="292"/>
      <c r="G14" s="292"/>
      <c r="H14" s="308"/>
      <c r="I14" s="309"/>
      <c r="J14" s="310"/>
      <c r="K14" s="310"/>
      <c r="L14" s="311"/>
    </row>
    <row r="15" spans="1:12" ht="14.1" customHeight="1">
      <c r="A15" s="291" t="s">
        <v>515</v>
      </c>
      <c r="B15" s="291"/>
      <c r="C15" s="292"/>
      <c r="D15" s="292"/>
      <c r="E15" s="292"/>
      <c r="F15" s="292"/>
      <c r="G15" s="292"/>
      <c r="H15" s="308">
        <f>-IS!F13-IS!F16</f>
        <v>-904573.31269000005</v>
      </c>
      <c r="I15" s="309"/>
      <c r="J15" s="310">
        <f>-IS!H13-IS!H16</f>
        <v>-185329</v>
      </c>
      <c r="K15" s="310"/>
      <c r="L15" s="311"/>
    </row>
    <row r="16" spans="1:12" ht="14.1" customHeight="1">
      <c r="A16" s="71" t="s">
        <v>516</v>
      </c>
      <c r="B16" s="291"/>
      <c r="C16" s="292"/>
      <c r="D16" s="292"/>
      <c r="E16" s="292"/>
      <c r="F16" s="292"/>
      <c r="G16" s="292"/>
      <c r="H16" s="308"/>
      <c r="I16" s="309"/>
      <c r="J16" s="310"/>
      <c r="K16" s="310"/>
      <c r="L16" s="311"/>
    </row>
    <row r="17" spans="1:20" ht="14.1" customHeight="1">
      <c r="A17" s="892" t="s">
        <v>517</v>
      </c>
      <c r="B17" s="291"/>
      <c r="C17" s="292"/>
      <c r="D17" s="292"/>
      <c r="E17" s="292"/>
      <c r="F17" s="292"/>
      <c r="G17" s="292"/>
      <c r="H17" s="308">
        <f>-IS!F15</f>
        <v>70.40100000000001</v>
      </c>
      <c r="I17" s="310"/>
      <c r="J17" s="310">
        <v>0</v>
      </c>
      <c r="K17" s="310"/>
      <c r="L17" s="311"/>
      <c r="M17" s="312"/>
      <c r="N17" s="129">
        <f>60712-2973</f>
        <v>57739</v>
      </c>
    </row>
    <row r="18" spans="1:20" ht="14.1" customHeight="1">
      <c r="A18" s="313" t="s">
        <v>518</v>
      </c>
      <c r="B18" s="291"/>
      <c r="C18" s="292"/>
      <c r="D18" s="292"/>
      <c r="E18" s="292"/>
      <c r="F18" s="292"/>
      <c r="G18" s="292"/>
      <c r="H18" s="308">
        <f>ROUND(IS!F30,0)</f>
        <v>-10909</v>
      </c>
      <c r="I18" s="310"/>
      <c r="J18" s="310">
        <f>ROUND(IS!H30,0)</f>
        <v>3583</v>
      </c>
      <c r="K18" s="310"/>
      <c r="L18" s="311"/>
      <c r="M18" s="312"/>
    </row>
    <row r="19" spans="1:20" ht="14.1" customHeight="1">
      <c r="A19" s="314"/>
      <c r="B19" s="291"/>
      <c r="C19" s="292"/>
      <c r="D19" s="292"/>
      <c r="E19" s="292"/>
      <c r="F19" s="292"/>
      <c r="G19" s="292"/>
      <c r="H19" s="315">
        <f>SUM(H12:H18)</f>
        <v>-31138.911690000048</v>
      </c>
      <c r="I19" s="310"/>
      <c r="J19" s="316">
        <f>SUM(J12:J18)</f>
        <v>-6165</v>
      </c>
      <c r="K19" s="310"/>
      <c r="L19" s="317">
        <f>SUM(L12:L17)</f>
        <v>0</v>
      </c>
      <c r="M19" s="318"/>
    </row>
    <row r="20" spans="1:20" ht="14.1" customHeight="1">
      <c r="A20" s="314"/>
      <c r="B20" s="291"/>
      <c r="C20" s="292"/>
      <c r="D20" s="292"/>
      <c r="E20" s="292"/>
      <c r="F20" s="292"/>
      <c r="G20" s="292"/>
      <c r="H20" s="308"/>
      <c r="I20" s="310"/>
      <c r="J20" s="310"/>
      <c r="K20" s="310"/>
      <c r="L20" s="319"/>
      <c r="M20" s="318"/>
    </row>
    <row r="21" spans="1:20" ht="14.1" customHeight="1">
      <c r="A21" s="893" t="s">
        <v>520</v>
      </c>
      <c r="B21" s="291"/>
      <c r="C21" s="292"/>
      <c r="D21" s="292"/>
      <c r="E21" s="292"/>
      <c r="F21" s="292"/>
      <c r="G21" s="292"/>
      <c r="H21" s="308"/>
      <c r="I21" s="309"/>
      <c r="J21" s="310"/>
      <c r="K21" s="310"/>
      <c r="L21" s="311"/>
    </row>
    <row r="22" spans="1:20" ht="14.1" customHeight="1">
      <c r="A22" s="320" t="s">
        <v>2</v>
      </c>
      <c r="B22" s="291"/>
      <c r="C22" s="291"/>
      <c r="D22" s="291"/>
      <c r="E22" s="291"/>
      <c r="F22" s="291"/>
      <c r="G22" s="291"/>
      <c r="H22" s="877">
        <f>ROUND(-BS!K12,0)-H17</f>
        <v>7047970.5990000004</v>
      </c>
      <c r="I22" s="310"/>
      <c r="J22" s="801">
        <v>-3077689</v>
      </c>
      <c r="K22" s="309"/>
      <c r="L22" s="321"/>
      <c r="M22" s="312">
        <v>353157</v>
      </c>
      <c r="O22" s="322"/>
      <c r="P22" s="323" t="s">
        <v>2</v>
      </c>
      <c r="Q22" s="323"/>
      <c r="R22" s="322"/>
      <c r="S22" s="324"/>
    </row>
    <row r="23" spans="1:20" ht="14.1" customHeight="1">
      <c r="A23" s="325" t="s">
        <v>509</v>
      </c>
      <c r="B23" s="291"/>
      <c r="C23" s="291"/>
      <c r="D23" s="291"/>
      <c r="E23" s="291"/>
      <c r="F23" s="291"/>
      <c r="G23" s="291"/>
      <c r="H23" s="326">
        <f>ROUND(-BS!K14,0)</f>
        <v>2754</v>
      </c>
      <c r="I23" s="310"/>
      <c r="J23" s="327">
        <v>147</v>
      </c>
      <c r="K23" s="309"/>
      <c r="L23" s="327"/>
      <c r="M23" s="312">
        <v>-2821.0270099999998</v>
      </c>
      <c r="O23" s="322"/>
      <c r="P23" s="328"/>
      <c r="Q23" s="322"/>
      <c r="R23" s="322"/>
      <c r="S23" s="324"/>
    </row>
    <row r="24" spans="1:20" ht="14.1" customHeight="1">
      <c r="A24" s="325" t="s">
        <v>78</v>
      </c>
      <c r="B24" s="291"/>
      <c r="C24" s="292"/>
      <c r="D24" s="292"/>
      <c r="E24" s="292"/>
      <c r="F24" s="292"/>
      <c r="G24" s="292"/>
      <c r="H24" s="326">
        <v>0</v>
      </c>
      <c r="I24" s="309"/>
      <c r="J24" s="327">
        <v>54</v>
      </c>
      <c r="K24" s="310"/>
      <c r="L24" s="327"/>
      <c r="M24" s="312">
        <v>-54</v>
      </c>
      <c r="O24" s="322" t="s">
        <v>136</v>
      </c>
      <c r="P24" s="328"/>
      <c r="Q24" s="322" t="e">
        <f>-IS!#REF!</f>
        <v>#REF!</v>
      </c>
      <c r="R24" s="322"/>
      <c r="S24" s="324"/>
    </row>
    <row r="25" spans="1:20" ht="14.1" customHeight="1">
      <c r="A25" s="325" t="s">
        <v>431</v>
      </c>
      <c r="B25" s="291"/>
      <c r="C25" s="292"/>
      <c r="D25" s="292"/>
      <c r="E25" s="292"/>
      <c r="F25" s="292"/>
      <c r="G25" s="292"/>
      <c r="H25" s="326">
        <f>-BS!K15</f>
        <v>1844</v>
      </c>
      <c r="I25" s="309"/>
      <c r="J25" s="327">
        <v>0</v>
      </c>
      <c r="K25" s="310"/>
      <c r="L25" s="327"/>
      <c r="M25" s="312"/>
      <c r="O25" s="322"/>
      <c r="P25" s="328"/>
      <c r="Q25" s="322"/>
      <c r="R25" s="322"/>
      <c r="S25" s="324"/>
    </row>
    <row r="26" spans="1:20" ht="14.1" customHeight="1">
      <c r="A26" s="325" t="s">
        <v>79</v>
      </c>
      <c r="B26" s="291"/>
      <c r="C26" s="292"/>
      <c r="D26" s="292"/>
      <c r="E26" s="292"/>
      <c r="F26" s="292"/>
      <c r="G26" s="292"/>
      <c r="H26" s="329">
        <v>0</v>
      </c>
      <c r="I26" s="309"/>
      <c r="J26" s="330">
        <v>5180</v>
      </c>
      <c r="K26" s="310"/>
      <c r="L26" s="327"/>
      <c r="M26" s="312">
        <v>0</v>
      </c>
      <c r="O26" s="322"/>
      <c r="P26" s="328"/>
      <c r="Q26" s="322" t="e">
        <f>#REF!-Q27-Q24</f>
        <v>#REF!</v>
      </c>
      <c r="R26" s="322">
        <f>H22</f>
        <v>7047970.5990000004</v>
      </c>
      <c r="S26" s="324"/>
    </row>
    <row r="27" spans="1:20" ht="14.1" customHeight="1">
      <c r="A27" s="320"/>
      <c r="B27" s="291"/>
      <c r="C27" s="292"/>
      <c r="D27" s="292"/>
      <c r="E27" s="292"/>
      <c r="F27" s="292"/>
      <c r="G27" s="292"/>
      <c r="H27" s="308">
        <f>SUM(H22:H26)</f>
        <v>7052568.5990000004</v>
      </c>
      <c r="I27" s="309"/>
      <c r="J27" s="310">
        <f>SUM(J22:J26)</f>
        <v>-3072308</v>
      </c>
      <c r="K27" s="310"/>
      <c r="L27" s="310">
        <f>SUM(L22:L26)</f>
        <v>0</v>
      </c>
      <c r="M27" s="312"/>
      <c r="O27" s="322" t="s">
        <v>137</v>
      </c>
      <c r="P27" s="328"/>
      <c r="Q27" s="322">
        <f>BS!G12</f>
        <v>1074650.919</v>
      </c>
      <c r="R27" s="322" t="s">
        <v>135</v>
      </c>
      <c r="S27" s="324"/>
    </row>
    <row r="28" spans="1:20" ht="14.1" customHeight="1">
      <c r="A28" s="331"/>
      <c r="B28" s="291"/>
      <c r="C28" s="292"/>
      <c r="D28" s="292"/>
      <c r="E28" s="292"/>
      <c r="F28" s="292"/>
      <c r="G28" s="292"/>
      <c r="H28" s="308"/>
      <c r="I28" s="309"/>
      <c r="J28" s="310"/>
      <c r="K28" s="310"/>
      <c r="L28" s="332"/>
    </row>
    <row r="29" spans="1:20" ht="14.1" customHeight="1">
      <c r="A29" s="290" t="s">
        <v>521</v>
      </c>
      <c r="B29" s="291"/>
      <c r="C29" s="292"/>
      <c r="D29" s="292"/>
      <c r="E29" s="292"/>
      <c r="F29" s="292"/>
      <c r="G29" s="292"/>
      <c r="H29" s="308"/>
      <c r="I29" s="309"/>
      <c r="J29" s="310"/>
      <c r="K29" s="310"/>
      <c r="L29" s="332"/>
      <c r="O29" s="246" t="e">
        <f>Q27+Q24</f>
        <v>#REF!</v>
      </c>
      <c r="Q29" s="246" t="e">
        <f>#REF!-Q27</f>
        <v>#REF!</v>
      </c>
      <c r="S29" s="333"/>
    </row>
    <row r="30" spans="1:20" ht="14.1" customHeight="1">
      <c r="A30" s="84" t="s">
        <v>488</v>
      </c>
      <c r="B30" s="291"/>
      <c r="C30" s="292"/>
      <c r="D30" s="292"/>
      <c r="E30" s="292"/>
      <c r="F30" s="292"/>
      <c r="G30" s="292"/>
      <c r="H30" s="334">
        <f>BS!K21</f>
        <v>170.72777000000002</v>
      </c>
      <c r="I30" s="309"/>
      <c r="J30" s="321">
        <v>507</v>
      </c>
      <c r="K30" s="310"/>
      <c r="L30" s="335"/>
      <c r="M30" s="312"/>
      <c r="O30" s="322" t="e">
        <f>#REF!-O29</f>
        <v>#REF!</v>
      </c>
      <c r="P30" s="322" t="e">
        <f>Q27+Q24</f>
        <v>#REF!</v>
      </c>
      <c r="Q30" s="322"/>
      <c r="R30" s="322"/>
      <c r="S30" s="324"/>
    </row>
    <row r="31" spans="1:20" s="46" customFormat="1" ht="14.1" customHeight="1">
      <c r="A31" s="336" t="s">
        <v>512</v>
      </c>
      <c r="B31" s="291"/>
      <c r="C31" s="292"/>
      <c r="D31" s="292"/>
      <c r="E31" s="292"/>
      <c r="F31" s="292"/>
      <c r="G31" s="292"/>
      <c r="H31" s="326">
        <f>BS!K22</f>
        <v>-818</v>
      </c>
      <c r="I31" s="309"/>
      <c r="J31" s="327">
        <v>748</v>
      </c>
      <c r="K31" s="310"/>
      <c r="L31" s="337"/>
      <c r="M31" s="338"/>
      <c r="O31" s="322"/>
      <c r="P31" s="322" t="e">
        <f>#REF!-P30</f>
        <v>#REF!</v>
      </c>
      <c r="Q31" s="322"/>
      <c r="R31" s="322"/>
      <c r="S31" s="98"/>
    </row>
    <row r="32" spans="1:20" ht="14.1" customHeight="1">
      <c r="A32" s="339" t="s">
        <v>5</v>
      </c>
      <c r="B32" s="291"/>
      <c r="C32" s="292"/>
      <c r="D32" s="292"/>
      <c r="E32" s="292"/>
      <c r="F32" s="292"/>
      <c r="G32" s="292"/>
      <c r="H32" s="326">
        <f>BS!K23</f>
        <v>964.00500000000011</v>
      </c>
      <c r="I32" s="309"/>
      <c r="J32" s="327">
        <v>509</v>
      </c>
      <c r="K32" s="310"/>
      <c r="L32" s="337"/>
      <c r="M32" s="312"/>
      <c r="O32" s="322"/>
      <c r="P32" s="322"/>
      <c r="Q32" s="322"/>
      <c r="R32" s="322"/>
      <c r="S32" s="324" t="e">
        <f>Q27+Q24</f>
        <v>#REF!</v>
      </c>
      <c r="T32" s="246" t="e">
        <f>#REF!</f>
        <v>#REF!</v>
      </c>
    </row>
    <row r="33" spans="1:19" hidden="1">
      <c r="A33" s="339" t="s">
        <v>80</v>
      </c>
      <c r="B33" s="291"/>
      <c r="C33" s="292"/>
      <c r="D33" s="292"/>
      <c r="E33" s="292"/>
      <c r="F33" s="292"/>
      <c r="G33" s="292"/>
      <c r="H33" s="326">
        <v>0</v>
      </c>
      <c r="I33" s="309"/>
      <c r="J33" s="327">
        <v>0</v>
      </c>
      <c r="K33" s="310"/>
      <c r="L33" s="337"/>
      <c r="M33" s="312"/>
      <c r="O33" s="322"/>
      <c r="P33" s="322"/>
      <c r="Q33" s="322"/>
      <c r="R33" s="322"/>
      <c r="S33" s="324"/>
    </row>
    <row r="34" spans="1:19" ht="14.1" customHeight="1">
      <c r="A34" s="336" t="s">
        <v>106</v>
      </c>
      <c r="B34" s="291"/>
      <c r="C34" s="292"/>
      <c r="D34" s="292"/>
      <c r="E34" s="292"/>
      <c r="F34" s="292"/>
      <c r="G34" s="292"/>
      <c r="H34" s="326">
        <f>BS!K24</f>
        <v>1555.0569000000005</v>
      </c>
      <c r="I34" s="309"/>
      <c r="J34" s="327">
        <v>4107</v>
      </c>
      <c r="K34" s="310"/>
      <c r="L34" s="337"/>
      <c r="M34" s="312"/>
      <c r="O34" s="322"/>
      <c r="P34" s="322"/>
      <c r="Q34" s="322"/>
      <c r="R34" s="322"/>
      <c r="S34" s="324"/>
    </row>
    <row r="35" spans="1:19" ht="14.1" customHeight="1">
      <c r="A35" s="339" t="s">
        <v>6</v>
      </c>
      <c r="B35" s="340"/>
      <c r="C35" s="292"/>
      <c r="D35" s="292"/>
      <c r="E35" s="292"/>
      <c r="F35" s="292"/>
      <c r="G35" s="292"/>
      <c r="H35" s="1090">
        <f>BS!K25-H18</f>
        <v>-365.55066000000261</v>
      </c>
      <c r="I35" s="309"/>
      <c r="J35" s="330">
        <v>-558</v>
      </c>
      <c r="K35" s="310"/>
      <c r="L35" s="341"/>
      <c r="M35" s="312"/>
      <c r="O35" s="322"/>
      <c r="P35" s="322"/>
      <c r="Q35" s="322"/>
      <c r="R35" s="322"/>
      <c r="S35" s="324"/>
    </row>
    <row r="36" spans="1:19" ht="14.1" customHeight="1">
      <c r="A36" s="290"/>
      <c r="B36" s="291"/>
      <c r="C36" s="292"/>
      <c r="D36" s="292"/>
      <c r="E36" s="292"/>
      <c r="F36" s="292"/>
      <c r="G36" s="292"/>
      <c r="H36" s="308">
        <f>SUM(H30:H35)</f>
        <v>1506.239009999998</v>
      </c>
      <c r="I36" s="309"/>
      <c r="J36" s="310">
        <f>SUM(J30:J35)</f>
        <v>5313</v>
      </c>
      <c r="K36" s="310"/>
      <c r="L36" s="342">
        <f>SUM(L30:L35)</f>
        <v>0</v>
      </c>
    </row>
    <row r="37" spans="1:19" ht="14.1" customHeight="1">
      <c r="A37" s="290"/>
      <c r="B37" s="291"/>
      <c r="C37" s="292"/>
      <c r="D37" s="292"/>
      <c r="E37" s="292"/>
      <c r="F37" s="292"/>
      <c r="G37" s="292"/>
      <c r="H37" s="308"/>
      <c r="I37" s="309"/>
      <c r="J37" s="310"/>
      <c r="K37" s="310"/>
      <c r="L37" s="342"/>
    </row>
    <row r="38" spans="1:19" ht="14.1" customHeight="1">
      <c r="A38" s="313" t="s">
        <v>519</v>
      </c>
      <c r="B38" s="291"/>
      <c r="C38" s="292"/>
      <c r="D38" s="292"/>
      <c r="E38" s="292"/>
      <c r="F38" s="292"/>
      <c r="G38" s="292"/>
      <c r="H38" s="308">
        <f>+BS!I13-BS!G13-H15</f>
        <v>866347.40997000004</v>
      </c>
      <c r="I38" s="309"/>
      <c r="J38" s="310">
        <v>127590</v>
      </c>
      <c r="K38" s="310"/>
      <c r="L38" s="342"/>
    </row>
    <row r="39" spans="1:19" ht="14.1" customHeight="1">
      <c r="A39" s="290" t="s">
        <v>303</v>
      </c>
      <c r="B39" s="343"/>
      <c r="C39" s="291"/>
      <c r="D39" s="291"/>
      <c r="E39" s="291"/>
      <c r="F39" s="291"/>
      <c r="G39" s="294"/>
      <c r="H39" s="344">
        <f>H19+H27+H36+H38</f>
        <v>7889283.33629</v>
      </c>
      <c r="I39" s="309"/>
      <c r="J39" s="345">
        <f>J19+J27+J36+J38</f>
        <v>-2945570</v>
      </c>
      <c r="K39" s="309"/>
      <c r="L39" s="345">
        <f>L19+L27+L36</f>
        <v>0</v>
      </c>
    </row>
    <row r="40" spans="1:19" ht="14.1" customHeight="1">
      <c r="A40" s="290"/>
      <c r="B40" s="343"/>
      <c r="C40" s="291"/>
      <c r="D40" s="291"/>
      <c r="E40" s="291"/>
      <c r="F40" s="291"/>
      <c r="G40" s="291"/>
      <c r="H40" s="346"/>
      <c r="I40" s="309"/>
      <c r="J40" s="309"/>
      <c r="K40" s="309"/>
      <c r="L40" s="332"/>
    </row>
    <row r="41" spans="1:19" ht="14.1" customHeight="1">
      <c r="A41" s="290" t="s">
        <v>26</v>
      </c>
      <c r="B41" s="291"/>
      <c r="C41" s="291"/>
      <c r="D41" s="291"/>
      <c r="E41" s="291"/>
      <c r="F41" s="291"/>
      <c r="G41" s="291"/>
      <c r="H41" s="346"/>
      <c r="I41" s="309"/>
      <c r="J41" s="309"/>
      <c r="K41" s="309"/>
      <c r="L41" s="332"/>
    </row>
    <row r="42" spans="1:19" ht="14.1" customHeight="1">
      <c r="A42" s="290"/>
      <c r="B42" s="291"/>
      <c r="C42" s="291"/>
      <c r="D42" s="291"/>
      <c r="E42" s="291"/>
      <c r="F42" s="291"/>
      <c r="G42" s="291"/>
      <c r="H42" s="346"/>
      <c r="I42" s="309"/>
      <c r="J42" s="309"/>
      <c r="K42" s="309"/>
      <c r="L42" s="332"/>
    </row>
    <row r="43" spans="1:19" s="46" customFormat="1" ht="14.1" customHeight="1">
      <c r="A43" s="291" t="s">
        <v>27</v>
      </c>
      <c r="B43" s="291"/>
      <c r="C43" s="291"/>
      <c r="D43" s="291"/>
      <c r="E43" s="291"/>
      <c r="F43" s="291"/>
      <c r="G43" s="291"/>
      <c r="H43" s="347">
        <f>ROUND('UHF New'!H17+'UHF New'!F27,0)</f>
        <v>13587726</v>
      </c>
      <c r="I43" s="309"/>
      <c r="J43" s="348">
        <v>25354633</v>
      </c>
      <c r="K43" s="309"/>
      <c r="L43" s="349"/>
      <c r="M43" s="312"/>
      <c r="Q43" s="129"/>
    </row>
    <row r="44" spans="1:19" s="46" customFormat="1" ht="14.1" customHeight="1">
      <c r="A44" s="291" t="s">
        <v>28</v>
      </c>
      <c r="B44" s="291"/>
      <c r="C44" s="291"/>
      <c r="D44" s="291"/>
      <c r="E44" s="291"/>
      <c r="F44" s="291"/>
      <c r="G44" s="291"/>
      <c r="H44" s="326">
        <f>ROUND('UHF New'!H23,0)</f>
        <v>-19279698</v>
      </c>
      <c r="I44" s="310"/>
      <c r="J44" s="327">
        <v>-12372311</v>
      </c>
      <c r="K44" s="309"/>
      <c r="L44" s="350"/>
      <c r="M44" s="312"/>
      <c r="Q44" s="129"/>
    </row>
    <row r="45" spans="1:19" s="46" customFormat="1" ht="14.1" customHeight="1">
      <c r="A45" s="291" t="s">
        <v>73</v>
      </c>
      <c r="B45" s="291"/>
      <c r="C45" s="291"/>
      <c r="D45" s="291"/>
      <c r="E45" s="291"/>
      <c r="F45" s="291"/>
      <c r="G45" s="291"/>
      <c r="H45" s="329">
        <f>ROUND('UHF New'!G27,0)</f>
        <v>-884273</v>
      </c>
      <c r="I45" s="310"/>
      <c r="J45" s="330">
        <v>-170272</v>
      </c>
      <c r="K45" s="309"/>
      <c r="L45" s="351"/>
      <c r="M45" s="312"/>
      <c r="Q45" s="129"/>
    </row>
    <row r="46" spans="1:19" ht="14.1" customHeight="1">
      <c r="A46" s="120" t="s">
        <v>304</v>
      </c>
      <c r="B46" s="291"/>
      <c r="C46" s="291"/>
      <c r="D46" s="291"/>
      <c r="E46" s="291"/>
      <c r="F46" s="291"/>
      <c r="G46" s="294"/>
      <c r="H46" s="308">
        <f>SUM(H43:H45)</f>
        <v>-6576245</v>
      </c>
      <c r="I46" s="310"/>
      <c r="J46" s="316">
        <f>SUM(J43:J45)</f>
        <v>12812050</v>
      </c>
      <c r="K46" s="309"/>
      <c r="L46" s="352">
        <f>SUM(L43:L44)</f>
        <v>0</v>
      </c>
      <c r="O46" s="46"/>
      <c r="P46" s="46"/>
    </row>
    <row r="47" spans="1:19" ht="14.1" customHeight="1">
      <c r="A47" s="120"/>
      <c r="B47" s="291"/>
      <c r="C47" s="291"/>
      <c r="D47" s="291"/>
      <c r="E47" s="291"/>
      <c r="F47" s="291"/>
      <c r="G47" s="291"/>
      <c r="H47" s="353"/>
      <c r="I47" s="310"/>
      <c r="J47" s="354"/>
      <c r="K47" s="309"/>
      <c r="L47" s="332"/>
      <c r="O47" s="46"/>
      <c r="P47" s="46"/>
    </row>
    <row r="48" spans="1:19" ht="14.1" customHeight="1">
      <c r="A48" s="290" t="s">
        <v>305</v>
      </c>
      <c r="B48" s="291"/>
      <c r="C48" s="291"/>
      <c r="D48" s="291"/>
      <c r="E48" s="291"/>
      <c r="F48" s="291"/>
      <c r="G48" s="294"/>
      <c r="H48" s="308">
        <f>H39+H46</f>
        <v>1313038.33629</v>
      </c>
      <c r="I48" s="310"/>
      <c r="J48" s="310">
        <f>J46+J39</f>
        <v>9866480</v>
      </c>
      <c r="K48" s="309"/>
      <c r="L48" s="311">
        <f>L39+L46</f>
        <v>0</v>
      </c>
    </row>
    <row r="49" spans="1:15" ht="14.1" customHeight="1">
      <c r="A49" s="291"/>
      <c r="B49" s="291"/>
      <c r="C49" s="291"/>
      <c r="D49" s="291"/>
      <c r="E49" s="291"/>
      <c r="F49" s="291"/>
      <c r="G49" s="291"/>
      <c r="H49" s="308"/>
      <c r="I49" s="310"/>
      <c r="J49" s="310"/>
      <c r="K49" s="309"/>
      <c r="L49" s="332"/>
    </row>
    <row r="50" spans="1:15" ht="14.1" customHeight="1">
      <c r="A50" s="71" t="s">
        <v>29</v>
      </c>
      <c r="B50" s="291"/>
      <c r="C50" s="291"/>
      <c r="D50" s="291"/>
      <c r="E50" s="291"/>
      <c r="F50" s="291"/>
      <c r="G50" s="291"/>
      <c r="H50" s="355">
        <f>BS!I11</f>
        <v>7092512</v>
      </c>
      <c r="I50" s="356"/>
      <c r="J50" s="356">
        <v>43747</v>
      </c>
      <c r="K50" s="309"/>
      <c r="L50" s="332"/>
    </row>
    <row r="51" spans="1:15" ht="14.1" customHeight="1">
      <c r="A51" s="71"/>
      <c r="B51" s="291"/>
      <c r="C51" s="291"/>
      <c r="D51" s="291"/>
      <c r="E51" s="291"/>
      <c r="F51" s="291"/>
      <c r="G51" s="291"/>
      <c r="H51" s="355"/>
      <c r="I51" s="356"/>
      <c r="J51" s="356"/>
      <c r="K51" s="309"/>
      <c r="L51" s="332"/>
      <c r="N51" s="129">
        <f>+BS!G11</f>
        <v>8405550</v>
      </c>
      <c r="O51" s="312">
        <f>N51-H52</f>
        <v>-0.33629000000655651</v>
      </c>
    </row>
    <row r="52" spans="1:15" s="256" customFormat="1" ht="14.1" customHeight="1" thickBot="1">
      <c r="A52" s="121" t="s">
        <v>30</v>
      </c>
      <c r="B52" s="340"/>
      <c r="C52" s="305"/>
      <c r="D52" s="305"/>
      <c r="E52" s="305"/>
      <c r="F52" s="305"/>
      <c r="G52" s="305"/>
      <c r="H52" s="878">
        <f>H50+H48</f>
        <v>8405550.33629</v>
      </c>
      <c r="I52" s="357"/>
      <c r="J52" s="812">
        <f>J48+J50</f>
        <v>9910227</v>
      </c>
      <c r="K52" s="358"/>
      <c r="L52" s="359">
        <f>L48+L50</f>
        <v>0</v>
      </c>
      <c r="N52" s="360">
        <f>+H52-BS!G11</f>
        <v>0.33629000000655651</v>
      </c>
    </row>
    <row r="53" spans="1:15" ht="14.1" customHeight="1" thickTop="1">
      <c r="A53" s="331"/>
      <c r="B53" s="291"/>
      <c r="C53" s="292"/>
      <c r="D53" s="292"/>
      <c r="E53" s="292"/>
      <c r="F53" s="292"/>
      <c r="G53" s="292"/>
      <c r="H53" s="361"/>
      <c r="I53" s="291"/>
      <c r="J53" s="361"/>
      <c r="K53" s="362"/>
      <c r="L53" s="306"/>
      <c r="M53" s="133"/>
    </row>
    <row r="54" spans="1:15" ht="14.1" customHeight="1">
      <c r="A54" s="331"/>
      <c r="B54" s="291"/>
      <c r="C54" s="292"/>
      <c r="D54" s="292"/>
      <c r="E54" s="292"/>
      <c r="F54" s="292"/>
      <c r="G54" s="292"/>
      <c r="H54" s="361"/>
      <c r="I54" s="291"/>
      <c r="J54" s="361"/>
      <c r="K54" s="362"/>
      <c r="L54" s="1017">
        <v>9910227</v>
      </c>
      <c r="M54" s="133"/>
    </row>
    <row r="55" spans="1:15" ht="14.1" customHeight="1">
      <c r="A55" s="55" t="str">
        <f>BS!A43</f>
        <v>The annexed notes 1 to 17 form an integral part of these condensed interim financial information.</v>
      </c>
      <c r="B55" s="55"/>
      <c r="C55" s="116"/>
      <c r="D55" s="116"/>
      <c r="E55" s="116"/>
      <c r="F55" s="116"/>
      <c r="G55" s="116"/>
      <c r="H55" s="363"/>
      <c r="I55" s="116"/>
      <c r="J55" s="364"/>
      <c r="K55" s="71"/>
      <c r="L55" s="1018">
        <f>+L54-J52</f>
        <v>0</v>
      </c>
      <c r="M55" s="312"/>
    </row>
    <row r="56" spans="1:15" ht="14.1" customHeight="1">
      <c r="A56" s="55"/>
      <c r="B56" s="55"/>
      <c r="C56" s="116"/>
      <c r="D56" s="116"/>
      <c r="E56" s="116"/>
      <c r="F56" s="116"/>
      <c r="G56" s="116"/>
      <c r="H56" s="363"/>
      <c r="I56" s="116"/>
      <c r="J56" s="364"/>
      <c r="K56" s="71"/>
      <c r="L56" s="71"/>
    </row>
    <row r="57" spans="1:15" ht="14.1" customHeight="1">
      <c r="A57" s="1092"/>
      <c r="B57" s="1092"/>
      <c r="C57" s="1092"/>
      <c r="D57" s="1092"/>
      <c r="E57" s="1092"/>
      <c r="F57" s="1092"/>
      <c r="G57" s="1092"/>
      <c r="H57" s="1092"/>
      <c r="I57" s="1092"/>
      <c r="J57" s="1092"/>
      <c r="K57" s="1092"/>
      <c r="L57" s="120"/>
      <c r="N57" s="312"/>
    </row>
    <row r="58" spans="1:15" ht="14.1" customHeight="1">
      <c r="A58" s="1092" t="str">
        <f>OCI!A22</f>
        <v>MCB-Arif Habib Savings and Investments Limited</v>
      </c>
      <c r="B58" s="1092"/>
      <c r="C58" s="1092"/>
      <c r="D58" s="1092"/>
      <c r="E58" s="1092"/>
      <c r="F58" s="1092"/>
      <c r="G58" s="1092"/>
      <c r="H58" s="1092"/>
      <c r="I58" s="1092"/>
      <c r="J58" s="1092"/>
      <c r="K58" s="1092"/>
      <c r="L58" s="120"/>
    </row>
    <row r="59" spans="1:15" ht="14.1" customHeight="1">
      <c r="A59" s="1092" t="str">
        <f>OCI!A23</f>
        <v>(Management Company)</v>
      </c>
      <c r="B59" s="1092"/>
      <c r="C59" s="1092"/>
      <c r="D59" s="1092"/>
      <c r="E59" s="1092"/>
      <c r="F59" s="1092"/>
      <c r="G59" s="1092"/>
      <c r="H59" s="1092"/>
      <c r="I59" s="1092"/>
      <c r="J59" s="1092"/>
      <c r="K59" s="1092"/>
      <c r="L59" s="120"/>
    </row>
    <row r="60" spans="1:15" ht="14.1" customHeight="1">
      <c r="A60" s="647"/>
      <c r="B60" s="647"/>
      <c r="C60" s="647"/>
      <c r="D60" s="647"/>
      <c r="E60" s="647"/>
      <c r="F60" s="647"/>
      <c r="G60" s="647"/>
      <c r="H60" s="365"/>
      <c r="I60" s="647"/>
      <c r="J60" s="94"/>
      <c r="K60" s="121"/>
      <c r="L60" s="120"/>
    </row>
    <row r="61" spans="1:15" ht="14.1" customHeight="1">
      <c r="A61" s="647"/>
      <c r="B61" s="647"/>
      <c r="C61" s="647"/>
      <c r="D61" s="647"/>
      <c r="E61" s="647"/>
      <c r="F61" s="647"/>
      <c r="G61" s="647"/>
      <c r="H61" s="365"/>
      <c r="I61" s="647"/>
      <c r="J61" s="94"/>
      <c r="K61" s="121"/>
      <c r="L61" s="120"/>
    </row>
    <row r="62" spans="1:15" ht="14.1" customHeight="1">
      <c r="A62" s="647"/>
      <c r="B62" s="647"/>
      <c r="C62" s="647"/>
      <c r="D62" s="647"/>
      <c r="E62" s="647"/>
      <c r="F62" s="647"/>
      <c r="G62" s="647"/>
      <c r="H62" s="365"/>
      <c r="I62" s="647"/>
      <c r="J62" s="94"/>
      <c r="K62" s="121"/>
      <c r="L62" s="120"/>
    </row>
    <row r="63" spans="1:15" ht="14.1" customHeight="1">
      <c r="A63" s="647"/>
      <c r="B63" s="647"/>
      <c r="C63" s="647"/>
      <c r="D63" s="647"/>
      <c r="E63" s="647"/>
      <c r="F63" s="647"/>
      <c r="G63" s="647"/>
      <c r="H63" s="365"/>
      <c r="I63" s="647"/>
      <c r="J63" s="94"/>
      <c r="K63" s="121"/>
      <c r="L63" s="120"/>
    </row>
    <row r="64" spans="1:15" ht="14.1" customHeight="1">
      <c r="A64" s="647"/>
      <c r="B64" s="647"/>
      <c r="C64" s="647"/>
      <c r="D64" s="647"/>
      <c r="E64" s="647"/>
      <c r="F64" s="647"/>
      <c r="G64" s="647"/>
      <c r="H64" s="365"/>
      <c r="I64" s="647"/>
      <c r="J64" s="94"/>
      <c r="K64" s="121"/>
      <c r="L64" s="120"/>
    </row>
    <row r="65" spans="1:12" ht="14.1" customHeight="1">
      <c r="A65" s="647"/>
      <c r="B65" s="647"/>
      <c r="C65" s="647"/>
      <c r="D65" s="647"/>
      <c r="E65" s="647"/>
      <c r="F65" s="647"/>
      <c r="G65" s="647"/>
      <c r="H65" s="365"/>
      <c r="I65" s="647"/>
      <c r="J65" s="94"/>
      <c r="K65" s="121"/>
      <c r="L65" s="120"/>
    </row>
    <row r="66" spans="1:12" ht="14.1" customHeight="1">
      <c r="A66" s="1093" t="s">
        <v>340</v>
      </c>
      <c r="B66" s="1093"/>
      <c r="C66" s="1093"/>
      <c r="D66" s="1096" t="s">
        <v>340</v>
      </c>
      <c r="E66" s="1096"/>
      <c r="F66" s="1096"/>
      <c r="G66" s="1096"/>
      <c r="H66" s="365"/>
      <c r="I66" s="671" t="s">
        <v>342</v>
      </c>
      <c r="J66" s="94"/>
      <c r="K66" s="121"/>
      <c r="L66" s="120"/>
    </row>
    <row r="67" spans="1:12" s="148" customFormat="1" ht="14.1" customHeight="1">
      <c r="A67" s="1092" t="s">
        <v>345</v>
      </c>
      <c r="B67" s="1092"/>
      <c r="C67" s="1092"/>
      <c r="D67" s="1092" t="s">
        <v>341</v>
      </c>
      <c r="E67" s="1092"/>
      <c r="F67" s="1092"/>
      <c r="G67" s="1092"/>
      <c r="H67" s="125"/>
      <c r="I67" s="647" t="s">
        <v>343</v>
      </c>
      <c r="J67" s="46"/>
      <c r="K67" s="46"/>
      <c r="L67" s="366"/>
    </row>
    <row r="68" spans="1:12" s="148" customFormat="1" ht="15.75" customHeight="1">
      <c r="A68" s="367"/>
      <c r="B68" s="368"/>
      <c r="C68" s="366"/>
      <c r="D68" s="366"/>
      <c r="E68" s="366"/>
      <c r="F68" s="366"/>
      <c r="G68" s="366"/>
      <c r="H68" s="366"/>
      <c r="I68" s="366"/>
      <c r="J68" s="147"/>
      <c r="K68" s="369"/>
      <c r="L68" s="147"/>
    </row>
    <row r="70" spans="1:12">
      <c r="H70" s="355">
        <f>BS!G11</f>
        <v>8405550</v>
      </c>
    </row>
    <row r="71" spans="1:12">
      <c r="H71" s="370">
        <f>H52-H70</f>
        <v>0.33629000000655651</v>
      </c>
      <c r="I71" s="67"/>
      <c r="J71" s="67"/>
      <c r="K71" s="67"/>
    </row>
    <row r="72" spans="1:12">
      <c r="H72" s="338"/>
      <c r="K72" s="82"/>
    </row>
    <row r="73" spans="1:12">
      <c r="L73" s="371"/>
    </row>
  </sheetData>
  <mergeCells count="8">
    <mergeCell ref="H9:K9"/>
    <mergeCell ref="A57:K57"/>
    <mergeCell ref="A59:K59"/>
    <mergeCell ref="A66:C66"/>
    <mergeCell ref="A67:C67"/>
    <mergeCell ref="D66:G66"/>
    <mergeCell ref="D67:G67"/>
    <mergeCell ref="A58:K58"/>
  </mergeCells>
  <pageMargins left="0.75" right="0.5" top="0.75" bottom="0.5" header="0.4" footer="0.2"/>
  <pageSetup paperSize="9" scale="79" orientation="portrait" r:id="rId1"/>
  <headerFooter alignWithMargins="0"/>
  <ignoredErrors>
    <ignoredError sqref="I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T115"/>
  <sheetViews>
    <sheetView showGridLines="0" view="pageBreakPreview" topLeftCell="A99" zoomScaleNormal="85" zoomScaleSheetLayoutView="100" workbookViewId="0">
      <selection activeCell="B84" sqref="B84:J85"/>
    </sheetView>
  </sheetViews>
  <sheetFormatPr defaultColWidth="9.109375" defaultRowHeight="13.2"/>
  <cols>
    <col min="1" max="1" width="6.109375" style="287" customWidth="1"/>
    <col min="2" max="2" width="2.109375" style="189" customWidth="1"/>
    <col min="3" max="3" width="2.44140625" style="189" customWidth="1"/>
    <col min="4" max="4" width="19.5546875" style="189" customWidth="1"/>
    <col min="5" max="5" width="29.109375" style="189" customWidth="1"/>
    <col min="6" max="6" width="10" style="189" customWidth="1"/>
    <col min="7" max="7" width="5.44140625" style="189" bestFit="1" customWidth="1"/>
    <col min="8" max="8" width="14" style="189" bestFit="1" customWidth="1"/>
    <col min="9" max="9" width="1" style="189" customWidth="1"/>
    <col min="10" max="10" width="13.44140625" style="189" customWidth="1"/>
    <col min="11" max="11" width="1.5546875" style="189" customWidth="1"/>
    <col min="12" max="12" width="10.88671875" style="189" bestFit="1" customWidth="1"/>
    <col min="13" max="13" width="14" style="189" bestFit="1" customWidth="1"/>
    <col min="14" max="14" width="11.88671875" style="189" bestFit="1" customWidth="1"/>
    <col min="15" max="15" width="11.5546875" style="189" bestFit="1" customWidth="1"/>
    <col min="16" max="19" width="9.109375" style="189"/>
    <col min="20" max="20" width="14.44140625" style="189" customWidth="1"/>
    <col min="21" max="16384" width="9.109375" style="189"/>
  </cols>
  <sheetData>
    <row r="1" spans="1:20" ht="20.399999999999999">
      <c r="A1" s="683" t="str">
        <f>Cashflow!A1</f>
        <v xml:space="preserve">Alhamra Islamic Money Market Fund </v>
      </c>
      <c r="B1" s="145"/>
      <c r="C1" s="145"/>
      <c r="D1" s="681"/>
      <c r="E1" s="283"/>
      <c r="F1" s="283"/>
      <c r="G1" s="283"/>
    </row>
    <row r="2" spans="1:20" ht="17.399999999999999">
      <c r="A2" s="684" t="s">
        <v>319</v>
      </c>
      <c r="B2" s="682"/>
      <c r="C2" s="145"/>
      <c r="D2" s="681"/>
      <c r="E2" s="283"/>
      <c r="F2" s="283"/>
      <c r="G2" s="283"/>
    </row>
    <row r="3" spans="1:20">
      <c r="A3" s="685" t="str">
        <f>Cashflow!A3</f>
        <v>For The Nine Months And Quarter Ended March 31, 2022</v>
      </c>
      <c r="B3" s="284"/>
      <c r="C3" s="284"/>
      <c r="D3" s="285"/>
      <c r="E3" s="285"/>
      <c r="F3" s="285"/>
      <c r="G3" s="285"/>
      <c r="H3" s="286"/>
    </row>
    <row r="4" spans="1:20">
      <c r="B4" s="284"/>
      <c r="C4" s="284"/>
      <c r="D4" s="285"/>
      <c r="E4" s="285"/>
      <c r="F4" s="285"/>
      <c r="G4" s="285"/>
      <c r="H4" s="286"/>
      <c r="L4" s="283" t="s">
        <v>291</v>
      </c>
    </row>
    <row r="5" spans="1:20">
      <c r="B5" s="284"/>
      <c r="C5" s="284"/>
      <c r="D5" s="285"/>
      <c r="E5" s="285"/>
      <c r="F5" s="285"/>
      <c r="G5" s="285"/>
      <c r="H5" s="286"/>
      <c r="L5" s="189" t="s">
        <v>324</v>
      </c>
    </row>
    <row r="6" spans="1:20" ht="14.1" customHeight="1">
      <c r="A6" s="288" t="s">
        <v>32</v>
      </c>
      <c r="B6" s="145" t="s">
        <v>33</v>
      </c>
      <c r="C6" s="115"/>
      <c r="F6" s="283"/>
      <c r="G6" s="283"/>
    </row>
    <row r="7" spans="1:20" ht="14.1" customHeight="1">
      <c r="B7" s="115"/>
      <c r="C7" s="115"/>
      <c r="F7" s="283"/>
      <c r="G7" s="283"/>
    </row>
    <row r="8" spans="1:20" ht="14.1" customHeight="1">
      <c r="A8" s="287">
        <v>1.1000000000000001</v>
      </c>
      <c r="B8" s="1128" t="s">
        <v>522</v>
      </c>
      <c r="C8" s="1128"/>
      <c r="D8" s="1128"/>
      <c r="E8" s="1128"/>
      <c r="F8" s="1128"/>
      <c r="G8" s="1128"/>
      <c r="H8" s="1128"/>
      <c r="I8" s="1128"/>
      <c r="J8" s="1128"/>
      <c r="L8" s="1124" t="s">
        <v>287</v>
      </c>
      <c r="M8" s="1124"/>
      <c r="N8" s="1124"/>
      <c r="O8" s="1124"/>
      <c r="P8" s="1124"/>
      <c r="Q8" s="1124"/>
      <c r="R8" s="1124"/>
      <c r="S8" s="1124"/>
      <c r="T8" s="1124"/>
    </row>
    <row r="9" spans="1:20" ht="14.1" customHeight="1">
      <c r="B9" s="1128"/>
      <c r="C9" s="1128"/>
      <c r="D9" s="1128"/>
      <c r="E9" s="1128"/>
      <c r="F9" s="1128"/>
      <c r="G9" s="1128"/>
      <c r="H9" s="1128"/>
      <c r="I9" s="1128"/>
      <c r="J9" s="1128"/>
      <c r="L9" s="1124"/>
      <c r="M9" s="1124"/>
      <c r="N9" s="1124"/>
      <c r="O9" s="1124"/>
      <c r="P9" s="1124"/>
      <c r="Q9" s="1124"/>
      <c r="R9" s="1124"/>
      <c r="S9" s="1124"/>
      <c r="T9" s="1124"/>
    </row>
    <row r="10" spans="1:20" ht="14.1" customHeight="1">
      <c r="B10" s="1128"/>
      <c r="C10" s="1128"/>
      <c r="D10" s="1128"/>
      <c r="E10" s="1128"/>
      <c r="F10" s="1128"/>
      <c r="G10" s="1128"/>
      <c r="H10" s="1128"/>
      <c r="I10" s="1128"/>
      <c r="J10" s="1128"/>
      <c r="L10" s="1124"/>
      <c r="M10" s="1124"/>
      <c r="N10" s="1124"/>
      <c r="O10" s="1124"/>
      <c r="P10" s="1124"/>
      <c r="Q10" s="1124"/>
      <c r="R10" s="1124"/>
      <c r="S10" s="1124"/>
      <c r="T10" s="1124"/>
    </row>
    <row r="11" spans="1:20" ht="14.1" customHeight="1">
      <c r="B11" s="1128"/>
      <c r="C11" s="1128"/>
      <c r="D11" s="1128"/>
      <c r="E11" s="1128"/>
      <c r="F11" s="1128"/>
      <c r="G11" s="1128"/>
      <c r="H11" s="1128"/>
      <c r="I11" s="1128"/>
      <c r="J11" s="1128"/>
      <c r="L11" s="1124"/>
      <c r="M11" s="1124"/>
      <c r="N11" s="1124"/>
      <c r="O11" s="1124"/>
      <c r="P11" s="1124"/>
      <c r="Q11" s="1124"/>
      <c r="R11" s="1124"/>
      <c r="S11" s="1124"/>
      <c r="T11" s="1124"/>
    </row>
    <row r="12" spans="1:20" ht="14.1" customHeight="1">
      <c r="B12" s="1128"/>
      <c r="C12" s="1128"/>
      <c r="D12" s="1128"/>
      <c r="E12" s="1128"/>
      <c r="F12" s="1128"/>
      <c r="G12" s="1128"/>
      <c r="H12" s="1128"/>
      <c r="I12" s="1128"/>
      <c r="J12" s="1128"/>
      <c r="L12" s="1124"/>
      <c r="M12" s="1124"/>
      <c r="N12" s="1124"/>
      <c r="O12" s="1124"/>
      <c r="P12" s="1124"/>
      <c r="Q12" s="1124"/>
      <c r="R12" s="1124"/>
      <c r="S12" s="1124"/>
      <c r="T12" s="1124"/>
    </row>
    <row r="13" spans="1:20" ht="14.1" customHeight="1">
      <c r="B13" s="1128"/>
      <c r="C13" s="1128"/>
      <c r="D13" s="1128"/>
      <c r="E13" s="1128"/>
      <c r="F13" s="1128"/>
      <c r="G13" s="1128"/>
      <c r="H13" s="1128"/>
      <c r="I13" s="1128"/>
      <c r="J13" s="1128"/>
      <c r="L13" s="1124"/>
      <c r="M13" s="1124"/>
      <c r="N13" s="1124"/>
      <c r="O13" s="1124"/>
      <c r="P13" s="1124"/>
      <c r="Q13" s="1124"/>
      <c r="R13" s="1124"/>
      <c r="S13" s="1124"/>
      <c r="T13" s="1124"/>
    </row>
    <row r="14" spans="1:20" ht="14.1" customHeight="1">
      <c r="B14" s="1128"/>
      <c r="C14" s="1128"/>
      <c r="D14" s="1128"/>
      <c r="E14" s="1128"/>
      <c r="F14" s="1128"/>
      <c r="G14" s="1128"/>
      <c r="H14" s="1128"/>
      <c r="I14" s="1128"/>
      <c r="J14" s="1128"/>
    </row>
    <row r="15" spans="1:20" ht="51.75" customHeight="1">
      <c r="B15" s="1128"/>
      <c r="C15" s="1128"/>
      <c r="D15" s="1128"/>
      <c r="E15" s="1128"/>
      <c r="F15" s="1128"/>
      <c r="G15" s="1128"/>
      <c r="H15" s="1128"/>
      <c r="I15" s="1128"/>
      <c r="J15" s="1128"/>
    </row>
    <row r="16" spans="1:20" ht="14.1" customHeight="1">
      <c r="B16" s="206"/>
      <c r="C16" s="206"/>
      <c r="D16" s="206"/>
      <c r="E16" s="206"/>
      <c r="F16" s="206"/>
      <c r="G16" s="206"/>
      <c r="H16" s="206"/>
      <c r="I16" s="206"/>
      <c r="J16" s="206"/>
    </row>
    <row r="17" spans="1:20">
      <c r="A17" s="287">
        <v>1.2</v>
      </c>
      <c r="B17" s="1113" t="s">
        <v>364</v>
      </c>
      <c r="C17" s="1113"/>
      <c r="D17" s="1113"/>
      <c r="E17" s="1113"/>
      <c r="F17" s="1113"/>
      <c r="G17" s="1113"/>
      <c r="H17" s="1113"/>
      <c r="I17" s="1113"/>
      <c r="J17" s="1113"/>
    </row>
    <row r="18" spans="1:20">
      <c r="B18" s="1113"/>
      <c r="C18" s="1113"/>
      <c r="D18" s="1113"/>
      <c r="E18" s="1113"/>
      <c r="F18" s="1113"/>
      <c r="G18" s="1113"/>
      <c r="H18" s="1113"/>
      <c r="I18" s="1113"/>
      <c r="J18" s="1113"/>
    </row>
    <row r="19" spans="1:20">
      <c r="B19" s="1113"/>
      <c r="C19" s="1113"/>
      <c r="D19" s="1113"/>
      <c r="E19" s="1113"/>
      <c r="F19" s="1113"/>
      <c r="G19" s="1113"/>
      <c r="H19" s="1113"/>
      <c r="I19" s="1113"/>
      <c r="J19" s="1113"/>
    </row>
    <row r="20" spans="1:20" ht="14.1" customHeight="1">
      <c r="B20" s="1113"/>
      <c r="C20" s="1113"/>
      <c r="D20" s="1113"/>
      <c r="E20" s="1113"/>
      <c r="F20" s="1113"/>
      <c r="G20" s="1113"/>
      <c r="H20" s="1113"/>
      <c r="I20" s="1113"/>
      <c r="J20" s="1113"/>
    </row>
    <row r="21" spans="1:20" ht="14.1" customHeight="1">
      <c r="A21" s="287">
        <v>1.3</v>
      </c>
      <c r="B21" s="1126" t="s">
        <v>480</v>
      </c>
      <c r="C21" s="1126"/>
      <c r="D21" s="1126"/>
      <c r="E21" s="1126"/>
      <c r="F21" s="1126"/>
      <c r="G21" s="1126"/>
      <c r="H21" s="1126"/>
      <c r="I21" s="1126"/>
      <c r="J21" s="1126"/>
      <c r="K21" s="189" t="s">
        <v>31</v>
      </c>
      <c r="L21" s="1127"/>
      <c r="M21" s="1127"/>
      <c r="N21" s="1127"/>
      <c r="O21" s="1127"/>
      <c r="P21" s="1127"/>
      <c r="Q21" s="1127"/>
      <c r="R21" s="1127"/>
      <c r="S21" s="1127"/>
      <c r="T21" s="1127"/>
    </row>
    <row r="22" spans="1:20" ht="14.1" customHeight="1">
      <c r="B22" s="1126"/>
      <c r="C22" s="1126"/>
      <c r="D22" s="1126"/>
      <c r="E22" s="1126"/>
      <c r="F22" s="1126"/>
      <c r="G22" s="1126"/>
      <c r="H22" s="1126"/>
      <c r="I22" s="1126"/>
      <c r="J22" s="1126"/>
      <c r="L22" s="1127"/>
      <c r="M22" s="1127"/>
      <c r="N22" s="1127"/>
      <c r="O22" s="1127"/>
      <c r="P22" s="1127"/>
      <c r="Q22" s="1127"/>
      <c r="R22" s="1127"/>
      <c r="S22" s="1127"/>
      <c r="T22" s="1127"/>
    </row>
    <row r="23" spans="1:20" ht="14.1" customHeight="1">
      <c r="B23" s="1126"/>
      <c r="C23" s="1126"/>
      <c r="D23" s="1126"/>
      <c r="E23" s="1126"/>
      <c r="F23" s="1126"/>
      <c r="G23" s="1126"/>
      <c r="H23" s="1126"/>
      <c r="I23" s="1126"/>
      <c r="J23" s="1126"/>
      <c r="L23" s="1127"/>
      <c r="M23" s="1127"/>
      <c r="N23" s="1127"/>
      <c r="O23" s="1127"/>
      <c r="P23" s="1127"/>
      <c r="Q23" s="1127"/>
      <c r="R23" s="1127"/>
      <c r="S23" s="1127"/>
      <c r="T23" s="1127"/>
    </row>
    <row r="24" spans="1:20" ht="14.1" customHeight="1">
      <c r="B24" s="1126"/>
      <c r="C24" s="1126"/>
      <c r="D24" s="1126"/>
      <c r="E24" s="1126"/>
      <c r="F24" s="1126"/>
      <c r="G24" s="1126"/>
      <c r="H24" s="1126"/>
      <c r="I24" s="1126"/>
      <c r="J24" s="1126"/>
      <c r="L24" s="1127"/>
      <c r="M24" s="1127"/>
      <c r="N24" s="1127"/>
      <c r="O24" s="1127"/>
      <c r="P24" s="1127"/>
      <c r="Q24" s="1127"/>
      <c r="R24" s="1127"/>
      <c r="S24" s="1127"/>
      <c r="T24" s="1127"/>
    </row>
    <row r="25" spans="1:20" ht="14.1" customHeight="1">
      <c r="B25" s="1126"/>
      <c r="C25" s="1126"/>
      <c r="D25" s="1126"/>
      <c r="E25" s="1126"/>
      <c r="F25" s="1126"/>
      <c r="G25" s="1126"/>
      <c r="H25" s="1126"/>
      <c r="I25" s="1126"/>
      <c r="J25" s="1126"/>
      <c r="L25" s="1127"/>
      <c r="M25" s="1127"/>
      <c r="N25" s="1127"/>
      <c r="O25" s="1127"/>
      <c r="P25" s="1127"/>
      <c r="Q25" s="1127"/>
      <c r="R25" s="1127"/>
      <c r="S25" s="1127"/>
      <c r="T25" s="1127"/>
    </row>
    <row r="26" spans="1:20" ht="14.1" customHeight="1">
      <c r="B26" s="1126"/>
      <c r="C26" s="1126"/>
      <c r="D26" s="1126"/>
      <c r="E26" s="1126"/>
      <c r="F26" s="1126"/>
      <c r="G26" s="1126"/>
      <c r="H26" s="1126"/>
      <c r="I26" s="1126"/>
      <c r="J26" s="1126"/>
      <c r="L26" s="1127"/>
      <c r="M26" s="1127"/>
      <c r="N26" s="1127"/>
      <c r="O26" s="1127"/>
      <c r="P26" s="1127"/>
      <c r="Q26" s="1127"/>
      <c r="R26" s="1127"/>
      <c r="S26" s="1127"/>
      <c r="T26" s="1127"/>
    </row>
    <row r="27" spans="1:20" ht="14.1" customHeight="1">
      <c r="B27" s="1126"/>
      <c r="C27" s="1126"/>
      <c r="D27" s="1126"/>
      <c r="E27" s="1126"/>
      <c r="F27" s="1126"/>
      <c r="G27" s="1126"/>
      <c r="H27" s="1126"/>
      <c r="I27" s="1126"/>
      <c r="J27" s="1126"/>
      <c r="L27" s="1127"/>
      <c r="M27" s="1127"/>
      <c r="N27" s="1127"/>
      <c r="O27" s="1127"/>
      <c r="P27" s="1127"/>
      <c r="Q27" s="1127"/>
      <c r="R27" s="1127"/>
      <c r="S27" s="1127"/>
      <c r="T27" s="1127"/>
    </row>
    <row r="28" spans="1:20" ht="14.1" customHeight="1">
      <c r="B28" s="1126"/>
      <c r="C28" s="1126"/>
      <c r="D28" s="1126"/>
      <c r="E28" s="1126"/>
      <c r="F28" s="1126"/>
      <c r="G28" s="1126"/>
      <c r="H28" s="1126"/>
      <c r="I28" s="1126"/>
      <c r="J28" s="1126"/>
    </row>
    <row r="29" spans="1:20" ht="14.1" customHeight="1">
      <c r="B29" s="1126"/>
      <c r="C29" s="1126"/>
      <c r="D29" s="1126"/>
      <c r="E29" s="1126"/>
      <c r="F29" s="1126"/>
      <c r="G29" s="1126"/>
      <c r="H29" s="1126"/>
      <c r="I29" s="1126"/>
      <c r="J29" s="1126"/>
    </row>
    <row r="30" spans="1:20" ht="14.1" customHeight="1">
      <c r="B30" s="719"/>
      <c r="C30" s="719"/>
      <c r="D30" s="719"/>
      <c r="E30" s="719"/>
      <c r="F30" s="719"/>
      <c r="G30" s="719"/>
      <c r="H30" s="719"/>
      <c r="I30" s="719"/>
      <c r="J30" s="719"/>
    </row>
    <row r="31" spans="1:20" ht="14.1" customHeight="1">
      <c r="A31" s="287">
        <v>1.4</v>
      </c>
      <c r="B31" s="1129" t="s">
        <v>365</v>
      </c>
      <c r="C31" s="1129"/>
      <c r="D31" s="1129"/>
      <c r="E31" s="1129"/>
      <c r="F31" s="1129"/>
      <c r="G31" s="1129"/>
      <c r="H31" s="1129"/>
      <c r="I31" s="1129"/>
      <c r="J31" s="1129"/>
      <c r="L31" s="1125"/>
      <c r="M31" s="1125"/>
      <c r="N31" s="1125"/>
      <c r="O31" s="1125"/>
      <c r="P31" s="1125"/>
      <c r="Q31" s="1125"/>
      <c r="R31" s="1125"/>
      <c r="S31" s="1125"/>
      <c r="T31" s="1125"/>
    </row>
    <row r="32" spans="1:20" ht="14.1" customHeight="1">
      <c r="B32" s="1129"/>
      <c r="C32" s="1129"/>
      <c r="D32" s="1129"/>
      <c r="E32" s="1129"/>
      <c r="F32" s="1129"/>
      <c r="G32" s="1129"/>
      <c r="H32" s="1129"/>
      <c r="I32" s="1129"/>
      <c r="J32" s="1129"/>
      <c r="L32" s="1125"/>
      <c r="M32" s="1125"/>
      <c r="N32" s="1125"/>
      <c r="O32" s="1125"/>
      <c r="P32" s="1125"/>
      <c r="Q32" s="1125"/>
      <c r="R32" s="1125"/>
      <c r="S32" s="1125"/>
      <c r="T32" s="1125"/>
    </row>
    <row r="33" spans="1:20" ht="14.1" customHeight="1">
      <c r="B33" s="1129"/>
      <c r="C33" s="1129"/>
      <c r="D33" s="1129"/>
      <c r="E33" s="1129"/>
      <c r="F33" s="1129"/>
      <c r="G33" s="1129"/>
      <c r="H33" s="1129"/>
      <c r="I33" s="1129"/>
      <c r="J33" s="1129"/>
      <c r="L33" s="1125"/>
      <c r="M33" s="1125"/>
      <c r="N33" s="1125"/>
      <c r="O33" s="1125"/>
      <c r="P33" s="1125"/>
      <c r="Q33" s="1125"/>
      <c r="R33" s="1125"/>
      <c r="S33" s="1125"/>
      <c r="T33" s="1125"/>
    </row>
    <row r="34" spans="1:20" ht="14.1" customHeight="1">
      <c r="B34" s="1129"/>
      <c r="C34" s="1129"/>
      <c r="D34" s="1129"/>
      <c r="E34" s="1129"/>
      <c r="F34" s="1129"/>
      <c r="G34" s="1129"/>
      <c r="H34" s="1129"/>
      <c r="I34" s="1129"/>
      <c r="J34" s="1129"/>
      <c r="L34" s="1125"/>
      <c r="M34" s="1125"/>
      <c r="N34" s="1125"/>
      <c r="O34" s="1125"/>
      <c r="P34" s="1125"/>
      <c r="Q34" s="1125"/>
      <c r="R34" s="1125"/>
      <c r="S34" s="1125"/>
      <c r="T34" s="1125"/>
    </row>
    <row r="35" spans="1:20" ht="14.1" customHeight="1">
      <c r="B35" s="655"/>
      <c r="C35" s="655"/>
      <c r="D35" s="655"/>
      <c r="E35" s="655"/>
      <c r="F35" s="655"/>
      <c r="G35" s="655"/>
      <c r="H35" s="655"/>
      <c r="I35" s="655"/>
      <c r="J35" s="655"/>
      <c r="L35" s="654"/>
      <c r="M35" s="654"/>
      <c r="N35" s="654"/>
      <c r="O35" s="654"/>
      <c r="P35" s="654"/>
      <c r="Q35" s="654"/>
      <c r="R35" s="654"/>
      <c r="S35" s="654"/>
      <c r="T35" s="654"/>
    </row>
    <row r="36" spans="1:20" ht="14.1" customHeight="1">
      <c r="A36" s="287">
        <v>1.5</v>
      </c>
      <c r="B36" s="1113" t="s">
        <v>523</v>
      </c>
      <c r="C36" s="1113"/>
      <c r="D36" s="1113"/>
      <c r="E36" s="1113"/>
      <c r="F36" s="1113"/>
      <c r="G36" s="1113"/>
      <c r="H36" s="1113"/>
      <c r="I36" s="1113"/>
      <c r="J36" s="1113"/>
      <c r="L36" s="657"/>
      <c r="M36" s="657"/>
      <c r="N36" s="657"/>
      <c r="O36" s="657"/>
      <c r="P36" s="657"/>
      <c r="Q36" s="657"/>
      <c r="R36" s="657"/>
      <c r="S36" s="657"/>
      <c r="T36" s="657"/>
    </row>
    <row r="37" spans="1:20" ht="14.1" customHeight="1">
      <c r="B37" s="1113"/>
      <c r="C37" s="1113"/>
      <c r="D37" s="1113"/>
      <c r="E37" s="1113"/>
      <c r="F37" s="1113"/>
      <c r="G37" s="1113"/>
      <c r="H37" s="1113"/>
      <c r="I37" s="1113"/>
      <c r="J37" s="1113"/>
      <c r="L37" s="657"/>
      <c r="M37" s="657"/>
      <c r="N37" s="657"/>
      <c r="O37" s="657"/>
      <c r="P37" s="657"/>
      <c r="Q37" s="657"/>
      <c r="R37" s="657"/>
      <c r="S37" s="657"/>
      <c r="T37" s="657"/>
    </row>
    <row r="38" spans="1:20" ht="14.1" customHeight="1">
      <c r="A38" s="287">
        <v>1.6</v>
      </c>
      <c r="B38" s="1113" t="s">
        <v>524</v>
      </c>
      <c r="C38" s="1113"/>
      <c r="D38" s="1113"/>
      <c r="E38" s="1113"/>
      <c r="F38" s="1113"/>
      <c r="G38" s="1113"/>
      <c r="H38" s="1113"/>
      <c r="I38" s="1113"/>
      <c r="J38" s="1113"/>
      <c r="L38" s="1113"/>
      <c r="M38" s="1113"/>
      <c r="N38" s="1113"/>
      <c r="O38" s="1113"/>
      <c r="P38" s="1113"/>
      <c r="Q38" s="1113"/>
      <c r="R38" s="1113"/>
      <c r="S38" s="1113"/>
      <c r="T38" s="1113"/>
    </row>
    <row r="39" spans="1:20" ht="14.1" customHeight="1">
      <c r="B39" s="1113"/>
      <c r="C39" s="1113"/>
      <c r="D39" s="1113"/>
      <c r="E39" s="1113"/>
      <c r="F39" s="1113"/>
      <c r="G39" s="1113"/>
      <c r="H39" s="1113"/>
      <c r="I39" s="1113"/>
      <c r="J39" s="1113"/>
      <c r="L39" s="1113"/>
      <c r="M39" s="1113"/>
      <c r="N39" s="1113"/>
      <c r="O39" s="1113"/>
      <c r="P39" s="1113"/>
      <c r="Q39" s="1113"/>
      <c r="R39" s="1113"/>
      <c r="S39" s="1113"/>
      <c r="T39" s="1113"/>
    </row>
    <row r="40" spans="1:20" ht="14.1" customHeight="1">
      <c r="B40" s="1113"/>
      <c r="C40" s="1113"/>
      <c r="D40" s="1113"/>
      <c r="E40" s="1113"/>
      <c r="F40" s="1113"/>
      <c r="G40" s="1113"/>
      <c r="H40" s="1113"/>
      <c r="I40" s="1113"/>
      <c r="J40" s="1113"/>
      <c r="L40" s="1113"/>
      <c r="M40" s="1113"/>
      <c r="N40" s="1113"/>
      <c r="O40" s="1113"/>
      <c r="P40" s="1113"/>
      <c r="Q40" s="1113"/>
      <c r="R40" s="1113"/>
      <c r="S40" s="1113"/>
      <c r="T40" s="1113"/>
    </row>
    <row r="41" spans="1:20" ht="14.1" customHeight="1">
      <c r="B41" s="809"/>
      <c r="C41" s="809"/>
      <c r="D41" s="809"/>
      <c r="E41" s="809"/>
      <c r="F41" s="809"/>
      <c r="G41" s="809"/>
      <c r="H41" s="809"/>
      <c r="I41" s="809"/>
      <c r="J41" s="809"/>
      <c r="L41" s="810"/>
      <c r="M41" s="810"/>
      <c r="N41" s="810"/>
      <c r="O41" s="810"/>
      <c r="P41" s="810"/>
      <c r="Q41" s="810"/>
      <c r="R41" s="810"/>
      <c r="S41" s="810"/>
      <c r="T41" s="810"/>
    </row>
    <row r="42" spans="1:20" ht="14.1" customHeight="1">
      <c r="A42" s="289">
        <f>A6+1</f>
        <v>2</v>
      </c>
      <c r="B42" s="686" t="s">
        <v>112</v>
      </c>
      <c r="C42" s="191"/>
      <c r="D42" s="191"/>
      <c r="E42" s="191"/>
      <c r="F42" s="191"/>
      <c r="G42" s="191"/>
      <c r="H42" s="191"/>
    </row>
    <row r="43" spans="1:20" ht="14.1" customHeight="1">
      <c r="A43" s="687"/>
      <c r="B43" s="688"/>
      <c r="C43" s="688"/>
      <c r="D43" s="688"/>
      <c r="E43" s="688"/>
      <c r="F43" s="688"/>
      <c r="G43" s="688"/>
      <c r="H43" s="688"/>
    </row>
    <row r="44" spans="1:20" ht="14.1" customHeight="1">
      <c r="A44" s="607">
        <f>A42+0.1</f>
        <v>2.1</v>
      </c>
      <c r="B44" s="686" t="s">
        <v>111</v>
      </c>
      <c r="C44" s="688"/>
      <c r="D44" s="688"/>
      <c r="E44" s="688"/>
      <c r="F44" s="688"/>
      <c r="G44" s="688"/>
      <c r="H44" s="688"/>
    </row>
    <row r="45" spans="1:20" ht="14.1" customHeight="1">
      <c r="A45" s="687"/>
      <c r="B45" s="688"/>
      <c r="C45" s="688"/>
      <c r="D45" s="688"/>
      <c r="E45" s="688"/>
      <c r="F45" s="688"/>
      <c r="G45" s="688"/>
      <c r="H45" s="688"/>
    </row>
    <row r="46" spans="1:20" ht="14.1" customHeight="1">
      <c r="A46" s="189"/>
      <c r="B46" s="1123" t="s">
        <v>333</v>
      </c>
      <c r="C46" s="1123"/>
      <c r="D46" s="1123"/>
      <c r="E46" s="1123"/>
      <c r="F46" s="1123"/>
      <c r="G46" s="1123"/>
      <c r="H46" s="1123"/>
      <c r="I46" s="1123"/>
      <c r="J46" s="1123"/>
      <c r="L46" s="1115"/>
      <c r="M46" s="1115"/>
      <c r="N46" s="1115"/>
      <c r="O46" s="1115"/>
      <c r="P46" s="1115"/>
      <c r="Q46" s="1115"/>
      <c r="R46" s="1115"/>
      <c r="S46" s="1115"/>
      <c r="T46" s="1115"/>
    </row>
    <row r="47" spans="1:20" ht="14.1" customHeight="1">
      <c r="A47" s="607"/>
      <c r="B47" s="1123"/>
      <c r="C47" s="1123"/>
      <c r="D47" s="1123"/>
      <c r="E47" s="1123"/>
      <c r="F47" s="1123"/>
      <c r="G47" s="1123"/>
      <c r="H47" s="1123"/>
      <c r="I47" s="1123"/>
      <c r="J47" s="1123"/>
      <c r="L47" s="1115"/>
      <c r="M47" s="1115"/>
      <c r="N47" s="1115"/>
      <c r="O47" s="1115"/>
      <c r="P47" s="1115"/>
      <c r="Q47" s="1115"/>
      <c r="R47" s="1115"/>
      <c r="S47" s="1115"/>
      <c r="T47" s="1115"/>
    </row>
    <row r="48" spans="1:20" ht="14.1" customHeight="1">
      <c r="A48" s="607"/>
      <c r="B48" s="1123"/>
      <c r="C48" s="1123"/>
      <c r="D48" s="1123"/>
      <c r="E48" s="1123"/>
      <c r="F48" s="1123"/>
      <c r="G48" s="1123"/>
      <c r="H48" s="1123"/>
      <c r="I48" s="1123"/>
      <c r="J48" s="1123"/>
      <c r="L48" s="1115"/>
      <c r="M48" s="1115"/>
      <c r="N48" s="1115"/>
      <c r="O48" s="1115"/>
      <c r="P48" s="1115"/>
      <c r="Q48" s="1115"/>
      <c r="R48" s="1115"/>
      <c r="S48" s="1115"/>
      <c r="T48" s="1115"/>
    </row>
    <row r="49" spans="1:20" ht="14.1" customHeight="1">
      <c r="A49" s="607"/>
      <c r="B49" s="689"/>
      <c r="C49" s="688"/>
      <c r="D49" s="688"/>
      <c r="E49" s="688"/>
      <c r="F49" s="688"/>
      <c r="G49" s="688"/>
      <c r="H49" s="688"/>
      <c r="L49" s="1115"/>
      <c r="M49" s="1115"/>
      <c r="N49" s="1115"/>
      <c r="O49" s="1115"/>
      <c r="P49" s="1115"/>
      <c r="Q49" s="1115"/>
      <c r="R49" s="1115"/>
      <c r="S49" s="1115"/>
      <c r="T49" s="1115"/>
    </row>
    <row r="50" spans="1:20" ht="14.1" customHeight="1">
      <c r="A50" s="607"/>
      <c r="B50" s="690" t="s">
        <v>94</v>
      </c>
      <c r="C50" s="1118" t="s">
        <v>95</v>
      </c>
      <c r="D50" s="1118"/>
      <c r="E50" s="1118"/>
      <c r="F50" s="1118"/>
      <c r="G50" s="1118"/>
      <c r="H50" s="1118"/>
      <c r="I50" s="1118"/>
      <c r="J50" s="1118"/>
      <c r="L50" s="658"/>
      <c r="M50" s="658"/>
      <c r="N50" s="658"/>
      <c r="O50" s="658"/>
      <c r="P50" s="658"/>
      <c r="Q50" s="658"/>
      <c r="R50" s="658"/>
      <c r="S50" s="658"/>
      <c r="T50" s="658"/>
    </row>
    <row r="51" spans="1:20" ht="14.1" customHeight="1">
      <c r="A51" s="607"/>
      <c r="B51" s="691"/>
      <c r="C51" s="1118"/>
      <c r="D51" s="1118"/>
      <c r="E51" s="1118"/>
      <c r="F51" s="1118"/>
      <c r="G51" s="1118"/>
      <c r="H51" s="1118"/>
      <c r="I51" s="1118"/>
      <c r="J51" s="1118"/>
      <c r="L51" s="658"/>
      <c r="M51" s="658"/>
      <c r="N51" s="658"/>
      <c r="O51" s="658"/>
      <c r="P51" s="658"/>
      <c r="Q51" s="658"/>
      <c r="R51" s="658"/>
      <c r="S51" s="658"/>
      <c r="T51" s="658"/>
    </row>
    <row r="52" spans="1:20" ht="14.1" customHeight="1">
      <c r="A52" s="607"/>
      <c r="B52" s="691"/>
      <c r="C52" s="692"/>
      <c r="D52" s="692"/>
      <c r="E52" s="692"/>
      <c r="F52" s="692"/>
      <c r="G52" s="692"/>
      <c r="H52" s="692"/>
      <c r="I52" s="692"/>
      <c r="J52" s="692"/>
      <c r="L52" s="658"/>
      <c r="M52" s="658"/>
      <c r="N52" s="658"/>
      <c r="O52" s="658"/>
      <c r="P52" s="658"/>
      <c r="Q52" s="658"/>
      <c r="R52" s="658"/>
      <c r="S52" s="658"/>
      <c r="T52" s="658"/>
    </row>
    <row r="53" spans="1:20" ht="14.1" customHeight="1">
      <c r="A53" s="607"/>
      <c r="B53" s="690" t="s">
        <v>94</v>
      </c>
      <c r="C53" s="1118" t="s">
        <v>96</v>
      </c>
      <c r="D53" s="1118"/>
      <c r="E53" s="1118"/>
      <c r="F53" s="1118"/>
      <c r="G53" s="1118"/>
      <c r="H53" s="1118"/>
      <c r="I53" s="1120"/>
      <c r="J53" s="1120"/>
      <c r="L53" s="658"/>
      <c r="M53" s="658"/>
      <c r="N53" s="658"/>
      <c r="O53" s="658"/>
      <c r="P53" s="658"/>
      <c r="Q53" s="658"/>
      <c r="R53" s="658"/>
      <c r="S53" s="658"/>
      <c r="T53" s="658"/>
    </row>
    <row r="54" spans="1:20" ht="14.1" customHeight="1">
      <c r="A54" s="607"/>
      <c r="B54" s="693"/>
      <c r="C54" s="1118"/>
      <c r="D54" s="1118"/>
      <c r="E54" s="1118"/>
      <c r="F54" s="1118"/>
      <c r="G54" s="1118"/>
      <c r="H54" s="1118"/>
      <c r="I54" s="1120"/>
      <c r="J54" s="1120"/>
      <c r="L54" s="658"/>
      <c r="M54" s="658"/>
      <c r="N54" s="658"/>
      <c r="O54" s="658"/>
      <c r="P54" s="658"/>
      <c r="Q54" s="658"/>
      <c r="R54" s="658"/>
      <c r="S54" s="658"/>
      <c r="T54" s="658"/>
    </row>
    <row r="55" spans="1:20" ht="14.1" customHeight="1">
      <c r="A55" s="607"/>
      <c r="B55" s="693"/>
      <c r="C55" s="692"/>
      <c r="D55" s="692"/>
      <c r="E55" s="692"/>
      <c r="F55" s="692"/>
      <c r="G55" s="692"/>
      <c r="H55" s="692"/>
      <c r="I55" s="499"/>
      <c r="J55" s="499"/>
      <c r="L55" s="658"/>
      <c r="M55" s="658"/>
      <c r="N55" s="658"/>
      <c r="O55" s="658"/>
      <c r="P55" s="658"/>
      <c r="Q55" s="658"/>
      <c r="R55" s="658"/>
      <c r="S55" s="658"/>
      <c r="T55" s="658"/>
    </row>
    <row r="56" spans="1:20" ht="14.1" customHeight="1">
      <c r="A56" s="607"/>
      <c r="B56" s="690" t="s">
        <v>94</v>
      </c>
      <c r="C56" s="1118" t="s">
        <v>409</v>
      </c>
      <c r="D56" s="1119"/>
      <c r="E56" s="1119"/>
      <c r="F56" s="1119"/>
      <c r="G56" s="1119"/>
      <c r="H56" s="1119"/>
      <c r="I56" s="1120"/>
      <c r="J56" s="1120"/>
      <c r="L56" s="658"/>
      <c r="M56" s="658"/>
      <c r="N56" s="658"/>
      <c r="O56" s="658"/>
      <c r="P56" s="658"/>
      <c r="Q56" s="658"/>
      <c r="R56" s="658"/>
      <c r="S56" s="658"/>
      <c r="T56" s="658"/>
    </row>
    <row r="57" spans="1:20" ht="14.1" customHeight="1">
      <c r="A57" s="607"/>
      <c r="C57" s="1119"/>
      <c r="D57" s="1119"/>
      <c r="E57" s="1119"/>
      <c r="F57" s="1119"/>
      <c r="G57" s="1119"/>
      <c r="H57" s="1119"/>
      <c r="I57" s="1120"/>
      <c r="J57" s="1120"/>
      <c r="L57" s="658"/>
      <c r="M57" s="658"/>
      <c r="N57" s="658"/>
      <c r="O57" s="658"/>
      <c r="P57" s="658"/>
      <c r="Q57" s="658"/>
      <c r="R57" s="658"/>
      <c r="S57" s="658"/>
      <c r="T57" s="658"/>
    </row>
    <row r="58" spans="1:20" ht="14.1" customHeight="1">
      <c r="A58" s="607"/>
      <c r="B58" s="693"/>
      <c r="C58" s="694"/>
      <c r="D58" s="694"/>
      <c r="E58" s="694"/>
      <c r="F58" s="694"/>
      <c r="G58" s="694"/>
      <c r="H58" s="694"/>
      <c r="I58" s="499"/>
      <c r="J58" s="499"/>
      <c r="L58" s="658"/>
      <c r="M58" s="658"/>
      <c r="N58" s="658"/>
      <c r="O58" s="658"/>
      <c r="P58" s="658"/>
      <c r="Q58" s="658"/>
      <c r="R58" s="658"/>
      <c r="S58" s="658"/>
      <c r="T58" s="658"/>
    </row>
    <row r="59" spans="1:20" ht="14.1" customHeight="1">
      <c r="A59" s="607"/>
      <c r="B59" s="1119" t="s">
        <v>410</v>
      </c>
      <c r="C59" s="1119"/>
      <c r="D59" s="1119"/>
      <c r="E59" s="1119"/>
      <c r="F59" s="1119"/>
      <c r="G59" s="1119"/>
      <c r="H59" s="1119"/>
      <c r="I59" s="1119"/>
      <c r="J59" s="1119"/>
      <c r="L59" s="658"/>
      <c r="M59" s="658"/>
      <c r="N59" s="658"/>
      <c r="O59" s="658"/>
      <c r="P59" s="658"/>
      <c r="Q59" s="658"/>
      <c r="R59" s="658"/>
      <c r="S59" s="658"/>
      <c r="T59" s="658"/>
    </row>
    <row r="60" spans="1:20" ht="14.1" customHeight="1">
      <c r="A60" s="607"/>
      <c r="B60" s="1119"/>
      <c r="C60" s="1119"/>
      <c r="D60" s="1119"/>
      <c r="E60" s="1119"/>
      <c r="F60" s="1119"/>
      <c r="G60" s="1119"/>
      <c r="H60" s="1119"/>
      <c r="I60" s="1119"/>
      <c r="J60" s="1119"/>
      <c r="L60" s="658"/>
      <c r="M60" s="658"/>
      <c r="N60" s="658"/>
      <c r="O60" s="658"/>
      <c r="P60" s="658"/>
      <c r="Q60" s="658"/>
      <c r="R60" s="658"/>
      <c r="S60" s="658"/>
      <c r="T60" s="658"/>
    </row>
    <row r="61" spans="1:20" ht="45.6" customHeight="1">
      <c r="A61" s="607"/>
      <c r="B61" s="1119"/>
      <c r="C61" s="1119"/>
      <c r="D61" s="1119"/>
      <c r="E61" s="1119"/>
      <c r="F61" s="1119"/>
      <c r="G61" s="1119"/>
      <c r="H61" s="1119"/>
      <c r="I61" s="1119"/>
      <c r="J61" s="1119"/>
      <c r="L61" s="658"/>
      <c r="M61" s="658"/>
      <c r="N61" s="658"/>
      <c r="O61" s="658"/>
      <c r="P61" s="658"/>
      <c r="Q61" s="658"/>
      <c r="R61" s="658"/>
      <c r="S61" s="658"/>
      <c r="T61" s="658"/>
    </row>
    <row r="62" spans="1:20" ht="14.1" customHeight="1">
      <c r="A62" s="289">
        <v>2.2000000000000002</v>
      </c>
      <c r="B62" s="1130" t="s">
        <v>561</v>
      </c>
      <c r="C62" s="1121"/>
      <c r="D62" s="1121"/>
      <c r="E62" s="1121"/>
      <c r="F62" s="1121"/>
      <c r="G62" s="1121"/>
      <c r="H62" s="1121"/>
      <c r="I62" s="1121"/>
      <c r="J62" s="1121"/>
      <c r="L62" s="658"/>
      <c r="M62" s="658"/>
      <c r="N62" s="658"/>
      <c r="O62" s="658"/>
      <c r="P62" s="658"/>
      <c r="Q62" s="658"/>
      <c r="R62" s="658"/>
      <c r="S62" s="658"/>
      <c r="T62" s="658"/>
    </row>
    <row r="63" spans="1:20" ht="14.1" customHeight="1">
      <c r="A63" s="189"/>
      <c r="B63" s="1121"/>
      <c r="C63" s="1121"/>
      <c r="D63" s="1121"/>
      <c r="E63" s="1121"/>
      <c r="F63" s="1121"/>
      <c r="G63" s="1121"/>
      <c r="H63" s="1121"/>
      <c r="I63" s="1121"/>
      <c r="J63" s="1121"/>
      <c r="L63" s="658"/>
      <c r="M63" s="658"/>
      <c r="N63" s="658"/>
      <c r="O63" s="658"/>
      <c r="P63" s="658"/>
      <c r="Q63" s="658"/>
      <c r="R63" s="658"/>
      <c r="S63" s="658"/>
      <c r="T63" s="658"/>
    </row>
    <row r="64" spans="1:20" ht="14.1" customHeight="1">
      <c r="A64" s="289"/>
      <c r="B64" s="1121"/>
      <c r="C64" s="1121"/>
      <c r="D64" s="1121"/>
      <c r="E64" s="1121"/>
      <c r="F64" s="1121"/>
      <c r="G64" s="1121"/>
      <c r="H64" s="1121"/>
      <c r="I64" s="1121"/>
      <c r="J64" s="1121"/>
      <c r="L64" s="658"/>
      <c r="M64" s="658"/>
      <c r="N64" s="658"/>
      <c r="O64" s="658"/>
      <c r="P64" s="658"/>
      <c r="Q64" s="658"/>
      <c r="R64" s="658"/>
      <c r="S64" s="658"/>
      <c r="T64" s="658"/>
    </row>
    <row r="65" spans="1:20" ht="14.1" customHeight="1">
      <c r="A65" s="510"/>
      <c r="B65" s="1121"/>
      <c r="C65" s="1121"/>
      <c r="D65" s="1121"/>
      <c r="E65" s="1121"/>
      <c r="F65" s="1121"/>
      <c r="G65" s="1121"/>
      <c r="H65" s="1121"/>
      <c r="I65" s="1121"/>
      <c r="J65" s="1121"/>
      <c r="L65" s="658"/>
      <c r="M65" s="658"/>
      <c r="N65" s="658"/>
      <c r="O65" s="658"/>
      <c r="P65" s="658"/>
      <c r="Q65" s="658"/>
      <c r="R65" s="658"/>
      <c r="S65" s="658"/>
      <c r="T65" s="658"/>
    </row>
    <row r="66" spans="1:20" ht="49.5" customHeight="1">
      <c r="A66" s="510"/>
      <c r="B66" s="1121"/>
      <c r="C66" s="1121"/>
      <c r="D66" s="1121"/>
      <c r="E66" s="1121"/>
      <c r="F66" s="1121"/>
      <c r="G66" s="1121"/>
      <c r="H66" s="1121"/>
      <c r="I66" s="1121"/>
      <c r="J66" s="1121"/>
      <c r="L66" s="658"/>
      <c r="M66" s="658"/>
      <c r="N66" s="658"/>
      <c r="O66" s="658"/>
      <c r="P66" s="658"/>
      <c r="Q66" s="658"/>
      <c r="R66" s="658"/>
      <c r="S66" s="658"/>
      <c r="T66" s="658"/>
    </row>
    <row r="67" spans="1:20" ht="14.1" customHeight="1">
      <c r="A67" s="510"/>
      <c r="B67" s="695"/>
      <c r="C67" s="695"/>
      <c r="D67" s="695"/>
      <c r="E67" s="695"/>
      <c r="F67" s="695"/>
      <c r="G67" s="695"/>
      <c r="H67" s="695"/>
      <c r="I67" s="695"/>
      <c r="J67" s="695"/>
      <c r="L67" s="658"/>
      <c r="M67" s="658"/>
      <c r="N67" s="658"/>
      <c r="O67" s="658"/>
      <c r="P67" s="658"/>
      <c r="Q67" s="658"/>
      <c r="R67" s="658"/>
      <c r="S67" s="658"/>
      <c r="T67" s="658"/>
    </row>
    <row r="68" spans="1:20" ht="14.1" customHeight="1">
      <c r="A68" s="289">
        <v>2.2999999999999998</v>
      </c>
      <c r="B68" s="1130" t="s">
        <v>411</v>
      </c>
      <c r="C68" s="1121"/>
      <c r="D68" s="1121"/>
      <c r="E68" s="1121"/>
      <c r="F68" s="1121"/>
      <c r="G68" s="1121"/>
      <c r="H68" s="1121"/>
      <c r="I68" s="1121"/>
      <c r="J68" s="1121"/>
      <c r="L68" s="815"/>
      <c r="M68" s="815"/>
      <c r="N68" s="815"/>
      <c r="O68" s="815"/>
      <c r="P68" s="815"/>
      <c r="Q68" s="815"/>
      <c r="R68" s="815"/>
      <c r="S68" s="815"/>
      <c r="T68" s="815"/>
    </row>
    <row r="69" spans="1:20" ht="14.1" customHeight="1">
      <c r="A69" s="510"/>
      <c r="B69" s="1121"/>
      <c r="C69" s="1121"/>
      <c r="D69" s="1121"/>
      <c r="E69" s="1121"/>
      <c r="F69" s="1121"/>
      <c r="G69" s="1121"/>
      <c r="H69" s="1121"/>
      <c r="I69" s="1121"/>
      <c r="J69" s="1121"/>
      <c r="L69" s="815"/>
      <c r="M69" s="815"/>
      <c r="N69" s="815"/>
      <c r="O69" s="815"/>
      <c r="P69" s="815"/>
      <c r="Q69" s="815"/>
      <c r="R69" s="815"/>
      <c r="S69" s="815"/>
      <c r="T69" s="815"/>
    </row>
    <row r="70" spans="1:20" ht="14.1" customHeight="1">
      <c r="A70" s="510"/>
      <c r="B70" s="1121"/>
      <c r="C70" s="1121"/>
      <c r="D70" s="1121"/>
      <c r="E70" s="1121"/>
      <c r="F70" s="1121"/>
      <c r="G70" s="1121"/>
      <c r="H70" s="1121"/>
      <c r="I70" s="1121"/>
      <c r="J70" s="1121"/>
      <c r="L70" s="815"/>
      <c r="M70" s="815"/>
      <c r="N70" s="815"/>
      <c r="O70" s="815"/>
      <c r="P70" s="815"/>
      <c r="Q70" s="815"/>
      <c r="R70" s="815"/>
      <c r="S70" s="815"/>
      <c r="T70" s="815"/>
    </row>
    <row r="71" spans="1:20" ht="14.1" customHeight="1">
      <c r="A71" s="510"/>
      <c r="B71" s="816"/>
      <c r="C71" s="816"/>
      <c r="D71" s="816"/>
      <c r="E71" s="816"/>
      <c r="F71" s="816"/>
      <c r="G71" s="816"/>
      <c r="H71" s="816"/>
      <c r="I71" s="816"/>
      <c r="J71" s="816"/>
      <c r="L71" s="815"/>
      <c r="M71" s="815"/>
      <c r="N71" s="815"/>
      <c r="O71" s="815"/>
      <c r="P71" s="815"/>
      <c r="Q71" s="815"/>
      <c r="R71" s="815"/>
      <c r="S71" s="815"/>
      <c r="T71" s="815"/>
    </row>
    <row r="72" spans="1:20" ht="14.1" customHeight="1">
      <c r="A72" s="289">
        <v>2.4</v>
      </c>
      <c r="B72" s="1130" t="s">
        <v>412</v>
      </c>
      <c r="C72" s="1121"/>
      <c r="D72" s="1121"/>
      <c r="E72" s="1121"/>
      <c r="F72" s="1121"/>
      <c r="G72" s="1121"/>
      <c r="H72" s="1121"/>
      <c r="I72" s="1121"/>
      <c r="J72" s="1121"/>
      <c r="L72" s="815"/>
      <c r="M72" s="815"/>
      <c r="N72" s="815"/>
      <c r="O72" s="815"/>
      <c r="P72" s="815"/>
      <c r="Q72" s="815"/>
      <c r="R72" s="815"/>
      <c r="S72" s="815"/>
      <c r="T72" s="815"/>
    </row>
    <row r="73" spans="1:20" ht="14.1" customHeight="1">
      <c r="A73" s="510"/>
      <c r="B73" s="1121"/>
      <c r="C73" s="1121"/>
      <c r="D73" s="1121"/>
      <c r="E73" s="1121"/>
      <c r="F73" s="1121"/>
      <c r="G73" s="1121"/>
      <c r="H73" s="1121"/>
      <c r="I73" s="1121"/>
      <c r="J73" s="1121"/>
      <c r="L73" s="815"/>
      <c r="M73" s="815"/>
      <c r="N73" s="815"/>
      <c r="O73" s="815"/>
      <c r="P73" s="815"/>
      <c r="Q73" s="815"/>
      <c r="R73" s="815"/>
      <c r="S73" s="815"/>
      <c r="T73" s="815"/>
    </row>
    <row r="74" spans="1:20" ht="14.1" customHeight="1">
      <c r="A74" s="510"/>
      <c r="B74" s="816"/>
      <c r="C74" s="816"/>
      <c r="D74" s="816"/>
      <c r="E74" s="816"/>
      <c r="F74" s="816"/>
      <c r="G74" s="816"/>
      <c r="H74" s="816"/>
      <c r="I74" s="816"/>
      <c r="J74" s="816"/>
      <c r="L74" s="815"/>
      <c r="M74" s="815"/>
      <c r="N74" s="815"/>
      <c r="O74" s="815"/>
      <c r="P74" s="815"/>
      <c r="Q74" s="815"/>
      <c r="R74" s="815"/>
      <c r="S74" s="815"/>
      <c r="T74" s="815"/>
    </row>
    <row r="75" spans="1:20" ht="14.1" customHeight="1">
      <c r="A75" s="289">
        <v>2.5</v>
      </c>
      <c r="B75" s="1121" t="s">
        <v>413</v>
      </c>
      <c r="C75" s="1121"/>
      <c r="D75" s="1121"/>
      <c r="E75" s="1121"/>
      <c r="F75" s="1121"/>
      <c r="G75" s="1121"/>
      <c r="H75" s="1121"/>
      <c r="I75" s="1121"/>
      <c r="J75" s="1121"/>
      <c r="L75" s="815"/>
      <c r="M75" s="815"/>
      <c r="N75" s="815"/>
      <c r="O75" s="815"/>
      <c r="P75" s="815"/>
      <c r="Q75" s="815"/>
      <c r="R75" s="815"/>
      <c r="S75" s="815"/>
      <c r="T75" s="815"/>
    </row>
    <row r="76" spans="1:20" ht="14.1" customHeight="1">
      <c r="A76" s="510"/>
      <c r="B76" s="1121"/>
      <c r="C76" s="1121"/>
      <c r="D76" s="1121"/>
      <c r="E76" s="1121"/>
      <c r="F76" s="1121"/>
      <c r="G76" s="1121"/>
      <c r="H76" s="1121"/>
      <c r="I76" s="1121"/>
      <c r="J76" s="1121"/>
      <c r="L76" s="815"/>
      <c r="M76" s="815"/>
      <c r="N76" s="815"/>
      <c r="O76" s="815"/>
      <c r="P76" s="815"/>
      <c r="Q76" s="815"/>
      <c r="R76" s="815"/>
      <c r="S76" s="815"/>
      <c r="T76" s="815"/>
    </row>
    <row r="77" spans="1:20" ht="14.1" customHeight="1">
      <c r="A77" s="510"/>
      <c r="B77" s="1122"/>
      <c r="C77" s="1122"/>
      <c r="D77" s="1122"/>
      <c r="E77" s="1122"/>
      <c r="F77" s="1122"/>
      <c r="G77" s="1122"/>
      <c r="H77" s="1122"/>
      <c r="I77" s="1122"/>
      <c r="J77" s="1122"/>
      <c r="L77" s="658"/>
      <c r="M77" s="658"/>
      <c r="N77" s="658"/>
      <c r="O77" s="658"/>
      <c r="P77" s="658"/>
      <c r="Q77" s="658"/>
      <c r="R77" s="658"/>
      <c r="S77" s="658"/>
      <c r="T77" s="658"/>
    </row>
    <row r="78" spans="1:20" ht="14.1" customHeight="1">
      <c r="A78" s="607">
        <f>+A42+1</f>
        <v>3</v>
      </c>
      <c r="B78" s="1131" t="s">
        <v>414</v>
      </c>
      <c r="C78" s="1131"/>
      <c r="D78" s="1131"/>
      <c r="E78" s="1131"/>
      <c r="F78" s="1131"/>
      <c r="G78" s="1131"/>
      <c r="H78" s="1131"/>
      <c r="I78" s="1131"/>
      <c r="J78" s="1131"/>
      <c r="L78" s="815"/>
      <c r="M78" s="815"/>
      <c r="N78" s="815"/>
      <c r="O78" s="815"/>
      <c r="P78" s="815"/>
      <c r="Q78" s="815"/>
      <c r="R78" s="815"/>
      <c r="S78" s="815"/>
      <c r="T78" s="815"/>
    </row>
    <row r="79" spans="1:20" ht="14.1" customHeight="1">
      <c r="A79" s="510"/>
      <c r="B79" s="1131"/>
      <c r="C79" s="1131"/>
      <c r="D79" s="1131"/>
      <c r="E79" s="1131"/>
      <c r="F79" s="1131"/>
      <c r="G79" s="1131"/>
      <c r="H79" s="1131"/>
      <c r="I79" s="1131"/>
      <c r="J79" s="1131"/>
      <c r="L79" s="815"/>
      <c r="M79" s="815"/>
      <c r="N79" s="815"/>
      <c r="O79" s="815"/>
      <c r="P79" s="815"/>
      <c r="Q79" s="815"/>
      <c r="R79" s="815"/>
      <c r="S79" s="815"/>
      <c r="T79" s="815"/>
    </row>
    <row r="80" spans="1:20" ht="14.1" customHeight="1">
      <c r="A80" s="510"/>
      <c r="B80" s="828"/>
      <c r="C80" s="828"/>
      <c r="D80" s="828"/>
      <c r="E80" s="828"/>
      <c r="F80" s="828"/>
      <c r="G80" s="828"/>
      <c r="H80" s="828"/>
      <c r="I80" s="828"/>
      <c r="J80" s="828"/>
      <c r="L80" s="815"/>
      <c r="M80" s="815"/>
      <c r="N80" s="815"/>
      <c r="O80" s="815"/>
      <c r="P80" s="815"/>
      <c r="Q80" s="815"/>
      <c r="R80" s="815"/>
      <c r="S80" s="815"/>
      <c r="T80" s="815"/>
    </row>
    <row r="81" spans="1:20" ht="14.1" customHeight="1">
      <c r="A81" s="510"/>
      <c r="B81" s="1121" t="s">
        <v>481</v>
      </c>
      <c r="C81" s="1121"/>
      <c r="D81" s="1121"/>
      <c r="E81" s="1121"/>
      <c r="F81" s="1121"/>
      <c r="G81" s="1121"/>
      <c r="H81" s="1121"/>
      <c r="I81" s="1121"/>
      <c r="J81" s="1121"/>
      <c r="L81" s="815"/>
      <c r="M81" s="815"/>
      <c r="N81" s="815"/>
      <c r="O81" s="815"/>
      <c r="P81" s="815"/>
      <c r="Q81" s="815"/>
      <c r="R81" s="815"/>
      <c r="S81" s="815"/>
      <c r="T81" s="815"/>
    </row>
    <row r="82" spans="1:20" ht="29.1" customHeight="1">
      <c r="A82" s="510"/>
      <c r="B82" s="1121"/>
      <c r="C82" s="1121"/>
      <c r="D82" s="1121"/>
      <c r="E82" s="1121"/>
      <c r="F82" s="1121"/>
      <c r="G82" s="1121"/>
      <c r="H82" s="1121"/>
      <c r="I82" s="1121"/>
      <c r="J82" s="1121"/>
      <c r="L82" s="815"/>
      <c r="M82" s="815"/>
      <c r="N82" s="815"/>
      <c r="O82" s="815"/>
      <c r="P82" s="815"/>
      <c r="Q82" s="815"/>
      <c r="R82" s="815"/>
      <c r="S82" s="815"/>
      <c r="T82" s="815"/>
    </row>
    <row r="83" spans="1:20" ht="14.1" customHeight="1">
      <c r="A83" s="510"/>
      <c r="B83" s="816"/>
      <c r="C83" s="816"/>
      <c r="D83" s="816"/>
      <c r="E83" s="816"/>
      <c r="F83" s="816"/>
      <c r="G83" s="816"/>
      <c r="H83" s="816"/>
      <c r="I83" s="816"/>
      <c r="J83" s="816"/>
      <c r="L83" s="815"/>
      <c r="M83" s="815"/>
      <c r="N83" s="815"/>
      <c r="O83" s="815"/>
      <c r="P83" s="815"/>
      <c r="Q83" s="815"/>
      <c r="R83" s="815"/>
      <c r="S83" s="815"/>
      <c r="T83" s="815"/>
    </row>
    <row r="84" spans="1:20" ht="14.1" customHeight="1">
      <c r="A84" s="510"/>
      <c r="B84" s="1130" t="s">
        <v>482</v>
      </c>
      <c r="C84" s="1121"/>
      <c r="D84" s="1121"/>
      <c r="E84" s="1121"/>
      <c r="F84" s="1121"/>
      <c r="G84" s="1121"/>
      <c r="H84" s="1121"/>
      <c r="I84" s="1121"/>
      <c r="J84" s="1121"/>
      <c r="L84" s="815"/>
      <c r="M84" s="815"/>
      <c r="N84" s="815"/>
      <c r="O84" s="815"/>
      <c r="P84" s="815"/>
      <c r="Q84" s="815"/>
      <c r="R84" s="815"/>
      <c r="S84" s="815"/>
      <c r="T84" s="815"/>
    </row>
    <row r="85" spans="1:20" ht="93.6" customHeight="1">
      <c r="A85" s="510"/>
      <c r="B85" s="1121"/>
      <c r="C85" s="1121"/>
      <c r="D85" s="1121"/>
      <c r="E85" s="1121"/>
      <c r="F85" s="1121"/>
      <c r="G85" s="1121"/>
      <c r="H85" s="1121"/>
      <c r="I85" s="1121"/>
      <c r="J85" s="1121"/>
      <c r="L85" s="815"/>
      <c r="M85" s="815"/>
      <c r="N85" s="815"/>
      <c r="O85" s="815"/>
      <c r="P85" s="815"/>
      <c r="Q85" s="815"/>
      <c r="R85" s="815"/>
      <c r="S85" s="815"/>
      <c r="T85" s="815"/>
    </row>
    <row r="86" spans="1:20" ht="14.1" customHeight="1">
      <c r="A86" s="687"/>
      <c r="B86" s="696"/>
      <c r="C86" s="697"/>
      <c r="D86" s="697"/>
      <c r="E86" s="697"/>
      <c r="F86" s="697"/>
      <c r="G86" s="697"/>
      <c r="H86" s="697"/>
      <c r="I86" s="697"/>
      <c r="J86" s="697"/>
      <c r="L86" s="1114"/>
      <c r="M86" s="1114"/>
      <c r="N86" s="1114"/>
      <c r="O86" s="1114"/>
      <c r="P86" s="1114"/>
      <c r="Q86" s="1114"/>
      <c r="R86" s="1114"/>
      <c r="S86" s="1114"/>
      <c r="T86" s="1114"/>
    </row>
    <row r="87" spans="1:20">
      <c r="A87" s="288">
        <f>+A78+1</f>
        <v>4</v>
      </c>
      <c r="B87" s="145" t="s">
        <v>34</v>
      </c>
      <c r="C87" s="115"/>
      <c r="D87" s="115"/>
      <c r="E87" s="115"/>
      <c r="F87" s="115"/>
      <c r="G87" s="115"/>
      <c r="H87" s="115"/>
      <c r="L87" s="283"/>
      <c r="M87" s="206"/>
      <c r="N87" s="206"/>
      <c r="O87" s="206"/>
      <c r="P87" s="206"/>
      <c r="Q87" s="206"/>
      <c r="R87" s="206"/>
    </row>
    <row r="88" spans="1:20">
      <c r="B88" s="115"/>
      <c r="C88" s="115"/>
      <c r="D88" s="115"/>
      <c r="E88" s="115"/>
      <c r="F88" s="115"/>
      <c r="G88" s="115"/>
      <c r="H88" s="115"/>
      <c r="L88" s="283"/>
    </row>
    <row r="89" spans="1:20" ht="15" customHeight="1">
      <c r="B89" s="1117" t="s">
        <v>562</v>
      </c>
      <c r="C89" s="1117"/>
      <c r="D89" s="1117"/>
      <c r="E89" s="1117"/>
      <c r="F89" s="1117"/>
      <c r="G89" s="1117"/>
      <c r="H89" s="1117"/>
      <c r="I89" s="1117"/>
      <c r="J89" s="1117"/>
      <c r="L89" s="1114"/>
      <c r="M89" s="1114"/>
      <c r="N89" s="1114"/>
      <c r="O89" s="1114"/>
      <c r="P89" s="1114"/>
      <c r="Q89" s="1114"/>
      <c r="R89" s="1114"/>
      <c r="S89" s="1114"/>
      <c r="T89" s="1114"/>
    </row>
    <row r="90" spans="1:20" ht="15" customHeight="1">
      <c r="B90" s="1117"/>
      <c r="C90" s="1117"/>
      <c r="D90" s="1117"/>
      <c r="E90" s="1117"/>
      <c r="F90" s="1117"/>
      <c r="G90" s="1117"/>
      <c r="H90" s="1117"/>
      <c r="I90" s="1117"/>
      <c r="J90" s="1117"/>
      <c r="L90" s="1114"/>
      <c r="M90" s="1114"/>
      <c r="N90" s="1114"/>
      <c r="O90" s="1114"/>
      <c r="P90" s="1114"/>
      <c r="Q90" s="1114"/>
      <c r="R90" s="1114"/>
      <c r="S90" s="1114"/>
      <c r="T90" s="1114"/>
    </row>
    <row r="91" spans="1:20" ht="14.4" customHeight="1">
      <c r="A91" s="698"/>
      <c r="B91" s="617"/>
      <c r="H91" s="699" t="s">
        <v>387</v>
      </c>
      <c r="I91" s="699"/>
      <c r="J91" s="718" t="s">
        <v>504</v>
      </c>
    </row>
    <row r="92" spans="1:20" ht="14.4" customHeight="1">
      <c r="A92" s="288" t="str">
        <f>A87+1&amp;""</f>
        <v>5</v>
      </c>
      <c r="B92" s="283" t="str">
        <f>UPPER(BS!A11)</f>
        <v>BANK BALANCES</v>
      </c>
      <c r="G92" s="700" t="s">
        <v>1</v>
      </c>
      <c r="H92" s="701">
        <v>2022</v>
      </c>
      <c r="I92" s="701"/>
      <c r="J92" s="702">
        <v>2021</v>
      </c>
    </row>
    <row r="93" spans="1:20" ht="14.4" customHeight="1">
      <c r="A93" s="698"/>
      <c r="B93" s="617"/>
      <c r="H93" s="649" t="s">
        <v>47</v>
      </c>
      <c r="I93" s="649"/>
      <c r="J93" s="213" t="s">
        <v>0</v>
      </c>
    </row>
    <row r="94" spans="1:20" ht="14.4" customHeight="1">
      <c r="A94" s="698"/>
      <c r="B94" s="617"/>
      <c r="H94" s="1112" t="s">
        <v>65</v>
      </c>
      <c r="I94" s="1112"/>
      <c r="J94" s="1112"/>
    </row>
    <row r="95" spans="1:20" ht="12.6" customHeight="1">
      <c r="A95" s="698"/>
      <c r="B95" s="617" t="s">
        <v>311</v>
      </c>
      <c r="G95" s="649"/>
      <c r="H95" s="705">
        <v>0</v>
      </c>
      <c r="I95" s="704"/>
      <c r="J95" s="706">
        <v>0</v>
      </c>
    </row>
    <row r="96" spans="1:20" ht="15" customHeight="1">
      <c r="A96" s="698"/>
      <c r="B96" s="617" t="s">
        <v>525</v>
      </c>
      <c r="G96" s="707">
        <f>A99</f>
        <v>5.0999999999999996</v>
      </c>
      <c r="H96" s="705">
        <f>TB!E12</f>
        <v>8405549.5398299992</v>
      </c>
      <c r="I96" s="703"/>
      <c r="J96" s="706">
        <v>7092512</v>
      </c>
    </row>
    <row r="97" spans="1:13" ht="15" customHeight="1" thickBot="1">
      <c r="A97" s="698"/>
      <c r="B97" s="617"/>
      <c r="G97" s="708"/>
      <c r="H97" s="709">
        <f>SUM(H95:H96)</f>
        <v>8405549.5398299992</v>
      </c>
      <c r="I97" s="703"/>
      <c r="J97" s="710">
        <f>SUM(J95:J96)</f>
        <v>7092512</v>
      </c>
    </row>
    <row r="98" spans="1:13" ht="13.8" thickTop="1">
      <c r="A98" s="698"/>
      <c r="B98" s="617"/>
      <c r="G98" s="649"/>
      <c r="H98" s="704"/>
      <c r="I98" s="703"/>
      <c r="J98" s="704"/>
    </row>
    <row r="99" spans="1:13">
      <c r="A99" s="698">
        <f>A92+0.1</f>
        <v>5.0999999999999996</v>
      </c>
      <c r="B99" s="1116" t="s">
        <v>539</v>
      </c>
      <c r="C99" s="1116"/>
      <c r="D99" s="1116"/>
      <c r="E99" s="1116"/>
      <c r="F99" s="1116"/>
      <c r="G99" s="1116"/>
      <c r="H99" s="1116"/>
      <c r="I99" s="1116"/>
      <c r="J99" s="1116"/>
    </row>
    <row r="100" spans="1:13">
      <c r="A100" s="698"/>
      <c r="B100" s="1116"/>
      <c r="C100" s="1116"/>
      <c r="D100" s="1116"/>
      <c r="E100" s="1116"/>
      <c r="F100" s="1116"/>
      <c r="G100" s="1116"/>
      <c r="H100" s="1116"/>
      <c r="I100" s="1116"/>
      <c r="J100" s="1116"/>
      <c r="L100" s="879">
        <f>+TB!C4/1000</f>
        <v>8.7625429499999985</v>
      </c>
    </row>
    <row r="101" spans="1:13">
      <c r="A101" s="698"/>
      <c r="B101" s="1116"/>
      <c r="C101" s="1116"/>
      <c r="D101" s="1116"/>
      <c r="E101" s="1116"/>
      <c r="F101" s="1116"/>
      <c r="G101" s="1116"/>
      <c r="H101" s="1116"/>
      <c r="I101" s="1116"/>
      <c r="J101" s="1116"/>
    </row>
    <row r="102" spans="1:13" hidden="1">
      <c r="A102" s="698"/>
      <c r="B102" s="1116"/>
      <c r="C102" s="1116"/>
      <c r="D102" s="1116"/>
      <c r="E102" s="1116"/>
      <c r="F102" s="1116"/>
      <c r="G102" s="1116"/>
      <c r="H102" s="1116"/>
      <c r="I102" s="1116"/>
      <c r="J102" s="1116"/>
    </row>
    <row r="103" spans="1:13" hidden="1">
      <c r="A103" s="698"/>
      <c r="B103" s="659"/>
      <c r="C103" s="659"/>
      <c r="D103" s="659"/>
      <c r="E103" s="659"/>
      <c r="F103" s="659"/>
      <c r="G103" s="659"/>
      <c r="H103" s="659"/>
      <c r="I103" s="659"/>
      <c r="J103" s="659"/>
    </row>
    <row r="104" spans="1:13">
      <c r="A104" s="698"/>
      <c r="B104" s="659"/>
      <c r="C104" s="659"/>
      <c r="D104" s="659"/>
      <c r="E104" s="659"/>
      <c r="F104" s="659"/>
      <c r="H104" s="699" t="s">
        <v>387</v>
      </c>
      <c r="I104" s="699"/>
      <c r="J104" s="718" t="s">
        <v>504</v>
      </c>
    </row>
    <row r="105" spans="1:13">
      <c r="A105" s="288">
        <f>A92+1</f>
        <v>6</v>
      </c>
      <c r="B105" s="283" t="str">
        <f>UPPER(BS!A12)</f>
        <v xml:space="preserve">INVESTMENTS </v>
      </c>
      <c r="C105" s="659"/>
      <c r="D105" s="659"/>
      <c r="E105" s="659"/>
      <c r="F105" s="659"/>
      <c r="G105" s="700" t="s">
        <v>1</v>
      </c>
      <c r="H105" s="701">
        <v>2022</v>
      </c>
      <c r="I105" s="701"/>
      <c r="J105" s="702">
        <v>2021</v>
      </c>
    </row>
    <row r="106" spans="1:13">
      <c r="A106" s="698"/>
      <c r="B106" s="659"/>
      <c r="C106" s="659"/>
      <c r="D106" s="659"/>
      <c r="E106" s="659"/>
      <c r="F106" s="659"/>
      <c r="H106" s="649" t="s">
        <v>47</v>
      </c>
      <c r="I106" s="649"/>
      <c r="J106" s="213" t="s">
        <v>0</v>
      </c>
    </row>
    <row r="107" spans="1:13">
      <c r="A107" s="189"/>
      <c r="C107" s="659"/>
      <c r="D107" s="659"/>
      <c r="E107" s="659"/>
      <c r="F107" s="659"/>
      <c r="H107" s="1112" t="s">
        <v>65</v>
      </c>
      <c r="I107" s="1112"/>
      <c r="J107" s="1112"/>
    </row>
    <row r="108" spans="1:13" ht="14.4" customHeight="1">
      <c r="B108" s="283" t="s">
        <v>35</v>
      </c>
      <c r="K108" s="189" t="s">
        <v>36</v>
      </c>
    </row>
    <row r="109" spans="1:13" ht="15" customHeight="1">
      <c r="A109" s="431"/>
      <c r="B109" s="618" t="s">
        <v>139</v>
      </c>
      <c r="G109" s="707">
        <f>Investment!A4</f>
        <v>6.1</v>
      </c>
      <c r="H109" s="805">
        <f>Investment!J15</f>
        <v>406000</v>
      </c>
      <c r="I109" s="423"/>
      <c r="J109" s="806">
        <v>352000</v>
      </c>
      <c r="K109" s="423"/>
      <c r="M109" s="711"/>
    </row>
    <row r="110" spans="1:13" s="715" customFormat="1" ht="15" customHeight="1">
      <c r="A110" s="431"/>
      <c r="B110" s="618" t="s">
        <v>383</v>
      </c>
      <c r="C110" s="189"/>
      <c r="D110" s="189"/>
      <c r="E110" s="189"/>
      <c r="F110" s="189"/>
      <c r="G110" s="707">
        <f>Investment!A29</f>
        <v>6.2</v>
      </c>
      <c r="H110" s="712">
        <f>Investment!J43</f>
        <v>668650.91899999999</v>
      </c>
      <c r="I110" s="423"/>
      <c r="J110" s="713">
        <v>1278407</v>
      </c>
      <c r="K110" s="714"/>
      <c r="M110" s="716"/>
    </row>
    <row r="111" spans="1:13" s="715" customFormat="1" ht="15" customHeight="1">
      <c r="A111" s="431"/>
      <c r="B111" s="618" t="s">
        <v>384</v>
      </c>
      <c r="C111" s="189"/>
      <c r="D111" s="189"/>
      <c r="E111" s="189"/>
      <c r="F111" s="189"/>
      <c r="G111" s="707">
        <f>Investment!A58</f>
        <v>6.3</v>
      </c>
      <c r="H111" s="1008">
        <f>Investment!I105</f>
        <v>0</v>
      </c>
      <c r="I111" s="100"/>
      <c r="J111" s="713">
        <v>0</v>
      </c>
      <c r="K111" s="714"/>
      <c r="M111" s="716"/>
    </row>
    <row r="112" spans="1:13" ht="15" customHeight="1">
      <c r="A112" s="431"/>
      <c r="B112" s="618" t="s">
        <v>532</v>
      </c>
      <c r="G112" s="707">
        <f>Investment!A73</f>
        <v>6.4</v>
      </c>
      <c r="H112" s="1027">
        <f>Investment!I106</f>
        <v>0</v>
      </c>
      <c r="I112" s="100"/>
      <c r="J112" s="717">
        <v>0</v>
      </c>
      <c r="K112" s="423"/>
      <c r="M112" s="711"/>
    </row>
    <row r="113" spans="1:13" ht="13.8" thickBot="1">
      <c r="A113" s="431"/>
      <c r="H113" s="834">
        <f>SUM(H109:H112)</f>
        <v>1074650.919</v>
      </c>
      <c r="J113" s="914">
        <f>SUM(J109:J112)</f>
        <v>1630407</v>
      </c>
      <c r="K113" s="711">
        <f>J113-BS!I12</f>
        <v>-6492285</v>
      </c>
      <c r="L113" s="711">
        <f>BS!G12</f>
        <v>1074650.919</v>
      </c>
      <c r="M113" s="711"/>
    </row>
    <row r="114" spans="1:13" ht="13.8" thickTop="1">
      <c r="A114" s="431"/>
      <c r="H114" s="411"/>
      <c r="L114" s="711"/>
    </row>
    <row r="115" spans="1:13">
      <c r="H115" s="711"/>
    </row>
  </sheetData>
  <mergeCells count="30">
    <mergeCell ref="B68:J70"/>
    <mergeCell ref="B72:J73"/>
    <mergeCell ref="B75:J76"/>
    <mergeCell ref="B81:J82"/>
    <mergeCell ref="B84:J85"/>
    <mergeCell ref="B78:J79"/>
    <mergeCell ref="B36:J37"/>
    <mergeCell ref="L8:T13"/>
    <mergeCell ref="L31:T34"/>
    <mergeCell ref="B21:J29"/>
    <mergeCell ref="L21:T27"/>
    <mergeCell ref="B8:J15"/>
    <mergeCell ref="B17:J20"/>
    <mergeCell ref="B31:J34"/>
    <mergeCell ref="H107:J107"/>
    <mergeCell ref="B38:J40"/>
    <mergeCell ref="L38:T40"/>
    <mergeCell ref="L86:T86"/>
    <mergeCell ref="L46:T49"/>
    <mergeCell ref="B99:J102"/>
    <mergeCell ref="H94:J94"/>
    <mergeCell ref="B89:J90"/>
    <mergeCell ref="C50:J51"/>
    <mergeCell ref="C56:J57"/>
    <mergeCell ref="C53:J54"/>
    <mergeCell ref="B62:J66"/>
    <mergeCell ref="B77:J77"/>
    <mergeCell ref="B59:J61"/>
    <mergeCell ref="B46:J48"/>
    <mergeCell ref="L89:T90"/>
  </mergeCells>
  <pageMargins left="0.75" right="0.5" top="0.75" bottom="0.5" header="0.4" footer="0.2"/>
  <pageSetup paperSize="9" scale="86" fitToHeight="0" orientation="portrait" r:id="rId1"/>
  <headerFooter alignWithMargins="0"/>
  <rowBreaks count="2" manualBreakCount="2">
    <brk id="54" max="9" man="1"/>
    <brk id="103" max="9" man="1"/>
  </rowBreaks>
  <ignoredErrors>
    <ignoredError sqref="A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F120"/>
  <sheetViews>
    <sheetView showGridLines="0" view="pageBreakPreview" topLeftCell="A58" zoomScale="70" zoomScaleNormal="100" zoomScaleSheetLayoutView="70" workbookViewId="0">
      <selection activeCell="F68" sqref="F68"/>
    </sheetView>
  </sheetViews>
  <sheetFormatPr defaultColWidth="10.109375" defaultRowHeight="13.2"/>
  <cols>
    <col min="1" max="1" width="5.44140625" style="266" customWidth="1"/>
    <col min="2" max="2" width="4.109375" style="267" customWidth="1"/>
    <col min="3" max="3" width="39.44140625" style="168" customWidth="1"/>
    <col min="4" max="4" width="16.5546875" style="168" bestFit="1" customWidth="1"/>
    <col min="5" max="5" width="14.5546875" style="168" customWidth="1"/>
    <col min="6" max="7" width="18.44140625" style="168" customWidth="1"/>
    <col min="8" max="8" width="25.5546875" style="168" customWidth="1"/>
    <col min="9" max="9" width="20.44140625" style="168" customWidth="1"/>
    <col min="10" max="10" width="14.5546875" style="168" customWidth="1"/>
    <col min="11" max="11" width="18.44140625" style="281" customWidth="1"/>
    <col min="12" max="12" width="18" style="723" customWidth="1"/>
    <col min="13" max="13" width="14.5546875" style="723" customWidth="1"/>
    <col min="14" max="14" width="14.5546875" style="722" customWidth="1"/>
    <col min="15" max="15" width="22.5546875" style="274" customWidth="1"/>
    <col min="16" max="16" width="14.44140625" style="168" bestFit="1" customWidth="1"/>
    <col min="17" max="17" width="12.109375" style="168" customWidth="1"/>
    <col min="18" max="18" width="9" style="168" customWidth="1"/>
    <col min="19" max="19" width="32.88671875" style="168" customWidth="1"/>
    <col min="20" max="20" width="31.109375" style="168" customWidth="1"/>
    <col min="21" max="21" width="9" style="168" customWidth="1"/>
    <col min="22" max="22" width="14" style="168" customWidth="1"/>
    <col min="23" max="23" width="9" style="168" customWidth="1"/>
    <col min="24" max="24" width="30" style="168" customWidth="1"/>
    <col min="25" max="25" width="7.88671875" style="168" customWidth="1"/>
    <col min="26" max="26" width="24.5546875" style="168" customWidth="1"/>
    <col min="27" max="27" width="29.88671875" style="168" customWidth="1"/>
    <col min="28" max="28" width="40.5546875" style="168" customWidth="1"/>
    <col min="29" max="29" width="40.109375" style="168" customWidth="1"/>
    <col min="30" max="30" width="21.44140625" style="168" customWidth="1"/>
    <col min="31" max="31" width="17" style="281" customWidth="1"/>
    <col min="32" max="32" width="21.88671875" style="168" customWidth="1"/>
    <col min="33" max="251" width="9" style="168" customWidth="1"/>
    <col min="252" max="16384" width="10.109375" style="168"/>
  </cols>
  <sheetData>
    <row r="1" spans="1:32" s="177" customFormat="1">
      <c r="A1" s="915"/>
      <c r="B1" s="916"/>
      <c r="C1" s="916"/>
      <c r="D1" s="916"/>
      <c r="E1" s="916"/>
      <c r="F1" s="916"/>
      <c r="G1" s="916"/>
      <c r="H1" s="916"/>
      <c r="I1" s="916"/>
      <c r="J1" s="916"/>
      <c r="K1" s="916"/>
      <c r="L1" s="916"/>
      <c r="M1" s="916"/>
      <c r="N1" s="916"/>
      <c r="O1" s="605"/>
      <c r="P1" s="605"/>
      <c r="Q1" s="605"/>
      <c r="R1" s="605"/>
      <c r="S1" s="605"/>
      <c r="AF1" s="281"/>
    </row>
    <row r="2" spans="1:32" s="280" customFormat="1">
      <c r="A2" s="917"/>
      <c r="B2" s="918"/>
      <c r="C2" s="919"/>
      <c r="D2" s="919"/>
      <c r="E2" s="919"/>
      <c r="F2" s="919"/>
      <c r="G2" s="919"/>
      <c r="H2" s="919"/>
      <c r="I2" s="919"/>
      <c r="J2" s="919"/>
      <c r="K2" s="919"/>
      <c r="L2" s="919"/>
      <c r="M2" s="919"/>
      <c r="N2" s="803"/>
      <c r="O2" s="282"/>
      <c r="P2" s="604"/>
      <c r="AE2" s="276"/>
    </row>
    <row r="3" spans="1:32" s="280" customFormat="1">
      <c r="A3" s="920"/>
      <c r="C3" s="919"/>
      <c r="D3" s="919"/>
      <c r="E3" s="919"/>
      <c r="F3" s="919"/>
      <c r="G3" s="919"/>
      <c r="H3" s="919"/>
      <c r="I3" s="919"/>
      <c r="J3" s="919"/>
      <c r="K3" s="919"/>
      <c r="L3" s="919"/>
      <c r="M3" s="919"/>
      <c r="N3" s="803"/>
      <c r="O3" s="282"/>
      <c r="P3" s="604"/>
      <c r="AE3" s="276"/>
    </row>
    <row r="4" spans="1:32" s="278" customFormat="1" ht="17.399999999999999">
      <c r="A4" s="1045">
        <v>6.1</v>
      </c>
      <c r="B4" s="921"/>
      <c r="C4" s="1004" t="s">
        <v>541</v>
      </c>
      <c r="D4" s="921"/>
      <c r="E4" s="921"/>
      <c r="F4" s="921"/>
      <c r="G4" s="921"/>
      <c r="H4" s="922"/>
      <c r="I4" s="923"/>
      <c r="J4" s="924"/>
      <c r="K4" s="924"/>
      <c r="L4" s="925"/>
      <c r="M4" s="925"/>
      <c r="N4" s="926"/>
      <c r="O4" s="841"/>
      <c r="P4" s="842"/>
      <c r="AE4" s="843"/>
    </row>
    <row r="5" spans="1:32" s="278" customFormat="1" ht="17.399999999999999">
      <c r="A5" s="931"/>
      <c r="B5" s="921"/>
      <c r="C5" s="1004"/>
      <c r="D5" s="921"/>
      <c r="E5" s="921"/>
      <c r="F5" s="921"/>
      <c r="G5" s="921"/>
      <c r="H5" s="922"/>
      <c r="I5" s="923"/>
      <c r="J5" s="924"/>
      <c r="K5" s="924"/>
      <c r="L5" s="925"/>
      <c r="M5" s="925"/>
      <c r="N5" s="926"/>
      <c r="O5" s="841"/>
      <c r="P5" s="842"/>
      <c r="AE5" s="843"/>
    </row>
    <row r="6" spans="1:32" s="280" customFormat="1" ht="57.6" customHeight="1">
      <c r="B6" s="918"/>
      <c r="C6" s="927" t="s">
        <v>38</v>
      </c>
      <c r="D6" s="927" t="s">
        <v>1</v>
      </c>
      <c r="E6" s="928" t="s">
        <v>439</v>
      </c>
      <c r="F6" s="928" t="s">
        <v>39</v>
      </c>
      <c r="G6" s="928" t="s">
        <v>440</v>
      </c>
      <c r="H6" s="928" t="s">
        <v>484</v>
      </c>
      <c r="I6" s="928" t="s">
        <v>41</v>
      </c>
      <c r="J6" s="928" t="s">
        <v>40</v>
      </c>
      <c r="K6" s="928" t="s">
        <v>113</v>
      </c>
      <c r="L6" s="929" t="s">
        <v>114</v>
      </c>
      <c r="M6" s="929" t="s">
        <v>115</v>
      </c>
      <c r="N6" s="930" t="s">
        <v>117</v>
      </c>
      <c r="O6" s="803"/>
      <c r="P6" s="282"/>
      <c r="Q6" s="604"/>
      <c r="AF6" s="276"/>
    </row>
    <row r="7" spans="1:32" s="280" customFormat="1" ht="13.35" customHeight="1">
      <c r="B7" s="918"/>
      <c r="C7" s="918"/>
      <c r="D7" s="918"/>
      <c r="E7" s="1133" t="s">
        <v>558</v>
      </c>
      <c r="F7" s="1133"/>
      <c r="G7" s="1133"/>
      <c r="H7" s="1133"/>
      <c r="I7" s="1132" t="s">
        <v>398</v>
      </c>
      <c r="J7" s="1132"/>
      <c r="K7" s="1132"/>
      <c r="L7" s="931"/>
      <c r="M7" s="931"/>
      <c r="N7" s="926"/>
      <c r="O7" s="803"/>
      <c r="P7" s="282"/>
      <c r="Q7" s="604"/>
      <c r="AF7" s="276"/>
    </row>
    <row r="8" spans="1:32" s="280" customFormat="1">
      <c r="B8" s="918"/>
      <c r="C8" s="918"/>
      <c r="D8" s="918"/>
      <c r="E8" s="921"/>
      <c r="F8" s="921"/>
      <c r="G8" s="921"/>
      <c r="H8" s="922"/>
      <c r="I8" s="1069"/>
      <c r="J8" s="1069"/>
      <c r="K8" s="1069"/>
      <c r="L8" s="931"/>
      <c r="M8" s="931"/>
      <c r="N8" s="926"/>
      <c r="O8" s="803"/>
      <c r="P8" s="282"/>
      <c r="Q8" s="604"/>
      <c r="AF8" s="276"/>
    </row>
    <row r="9" spans="1:32" s="280" customFormat="1">
      <c r="C9" s="932" t="s">
        <v>316</v>
      </c>
      <c r="D9" s="1028"/>
      <c r="E9" s="1029">
        <v>352</v>
      </c>
      <c r="F9" s="1030">
        <v>0</v>
      </c>
      <c r="G9" s="1030">
        <v>352</v>
      </c>
      <c r="H9" s="1030">
        <f>E9+F9-G9</f>
        <v>0</v>
      </c>
      <c r="I9" s="1029">
        <v>0</v>
      </c>
      <c r="J9" s="1029">
        <v>0</v>
      </c>
      <c r="K9" s="1029">
        <v>0</v>
      </c>
      <c r="L9" s="935">
        <v>0</v>
      </c>
      <c r="M9" s="935">
        <v>0</v>
      </c>
      <c r="N9" s="935">
        <f>J9/450000000</f>
        <v>0</v>
      </c>
      <c r="O9" s="803"/>
      <c r="P9" s="282"/>
      <c r="Q9" s="604"/>
      <c r="AF9" s="276"/>
    </row>
    <row r="10" spans="1:32" s="280" customFormat="1">
      <c r="C10" s="932" t="s">
        <v>316</v>
      </c>
      <c r="D10" s="1031"/>
      <c r="E10" s="1029">
        <v>0</v>
      </c>
      <c r="F10" s="1029">
        <v>352</v>
      </c>
      <c r="G10" s="1029">
        <v>352</v>
      </c>
      <c r="H10" s="1030">
        <f>E10+F10-G10</f>
        <v>0</v>
      </c>
      <c r="I10" s="1029">
        <v>0</v>
      </c>
      <c r="J10" s="1029">
        <v>0</v>
      </c>
      <c r="K10" s="1029">
        <v>0</v>
      </c>
      <c r="L10" s="935">
        <v>0</v>
      </c>
      <c r="M10" s="935">
        <v>0</v>
      </c>
      <c r="N10" s="935">
        <f>J10/450000000</f>
        <v>0</v>
      </c>
      <c r="O10" s="803"/>
      <c r="P10" s="282"/>
      <c r="Q10" s="604"/>
      <c r="AF10" s="276"/>
    </row>
    <row r="11" spans="1:32" s="280" customFormat="1">
      <c r="C11" s="932" t="s">
        <v>316</v>
      </c>
      <c r="D11" s="1031"/>
      <c r="E11" s="1029">
        <v>0</v>
      </c>
      <c r="F11" s="1029">
        <v>352</v>
      </c>
      <c r="G11" s="1029">
        <v>352</v>
      </c>
      <c r="H11" s="1030">
        <f>E11+F11-G11</f>
        <v>0</v>
      </c>
      <c r="I11" s="1029">
        <v>0</v>
      </c>
      <c r="J11" s="1029">
        <v>0</v>
      </c>
      <c r="K11" s="1029">
        <v>0</v>
      </c>
      <c r="L11" s="935">
        <v>0</v>
      </c>
      <c r="M11" s="935">
        <v>0</v>
      </c>
      <c r="N11" s="935">
        <f>J11/450000000</f>
        <v>0</v>
      </c>
      <c r="O11" s="803"/>
      <c r="P11" s="282"/>
      <c r="Q11" s="604"/>
      <c r="AF11" s="276"/>
    </row>
    <row r="12" spans="1:32" s="280" customFormat="1">
      <c r="C12" s="932" t="s">
        <v>316</v>
      </c>
      <c r="D12" s="1031"/>
      <c r="E12" s="1029">
        <v>0</v>
      </c>
      <c r="F12" s="1029">
        <v>352</v>
      </c>
      <c r="G12" s="1029">
        <v>352</v>
      </c>
      <c r="H12" s="1030">
        <f>E12+F12-G12</f>
        <v>0</v>
      </c>
      <c r="I12" s="1029">
        <v>0</v>
      </c>
      <c r="J12" s="1029">
        <v>0</v>
      </c>
      <c r="K12" s="1029">
        <v>0</v>
      </c>
      <c r="L12" s="935">
        <v>0</v>
      </c>
      <c r="M12" s="935">
        <v>0</v>
      </c>
      <c r="N12" s="935">
        <f>J12/450000000</f>
        <v>0</v>
      </c>
      <c r="O12" s="803"/>
      <c r="P12" s="282"/>
      <c r="Q12" s="604"/>
      <c r="AF12" s="276"/>
    </row>
    <row r="13" spans="1:32" s="280" customFormat="1">
      <c r="C13" s="932" t="s">
        <v>316</v>
      </c>
      <c r="D13" s="936" t="s">
        <v>540</v>
      </c>
      <c r="E13" s="934">
        <v>0</v>
      </c>
      <c r="F13" s="1029">
        <v>406</v>
      </c>
      <c r="G13" s="934">
        <v>0</v>
      </c>
      <c r="H13" s="933">
        <f>E13+F13-G13</f>
        <v>406</v>
      </c>
      <c r="I13" s="934">
        <v>406000</v>
      </c>
      <c r="J13" s="934">
        <f>I13</f>
        <v>406000</v>
      </c>
      <c r="K13" s="934">
        <v>0</v>
      </c>
      <c r="L13" s="1032">
        <f>(I13/BS!I32)</f>
        <v>2.6609637276562612E-2</v>
      </c>
      <c r="M13" s="1032">
        <f>+Investment!J13/BS!G12</f>
        <v>0.37779709933882261</v>
      </c>
      <c r="N13" s="1033">
        <f>J13/4500000</f>
        <v>9.0222222222222218E-2</v>
      </c>
      <c r="O13" s="803"/>
      <c r="P13" s="282"/>
      <c r="Q13" s="604"/>
      <c r="AF13" s="276"/>
    </row>
    <row r="14" spans="1:32" s="280" customFormat="1">
      <c r="D14" s="937"/>
      <c r="E14" s="938"/>
      <c r="F14" s="938"/>
      <c r="G14" s="938"/>
      <c r="H14" s="938"/>
      <c r="I14" s="939"/>
      <c r="J14" s="939"/>
      <c r="K14" s="939"/>
      <c r="L14" s="940"/>
      <c r="M14" s="941"/>
      <c r="N14" s="941"/>
      <c r="O14" s="803"/>
      <c r="P14" s="282"/>
      <c r="Q14" s="604"/>
      <c r="AF14" s="276"/>
    </row>
    <row r="15" spans="1:32" s="280" customFormat="1" ht="13.8" thickBot="1">
      <c r="C15" s="942" t="s">
        <v>443</v>
      </c>
      <c r="D15" s="937"/>
      <c r="E15" s="938"/>
      <c r="F15" s="938"/>
      <c r="G15" s="938"/>
      <c r="H15" s="938"/>
      <c r="I15" s="943">
        <f>SUM(I9:I13)</f>
        <v>406000</v>
      </c>
      <c r="J15" s="943">
        <f>SUM(J9:J13)</f>
        <v>406000</v>
      </c>
      <c r="K15" s="943">
        <f>SUM(K9:K13)</f>
        <v>0</v>
      </c>
      <c r="L15" s="940"/>
      <c r="M15" s="941"/>
      <c r="N15" s="941"/>
      <c r="O15" s="803"/>
      <c r="P15" s="282"/>
      <c r="Q15" s="604"/>
      <c r="AF15" s="276"/>
    </row>
    <row r="16" spans="1:32" s="280" customFormat="1" ht="13.8" thickTop="1">
      <c r="D16" s="937"/>
      <c r="E16" s="938"/>
      <c r="F16" s="938"/>
      <c r="G16" s="938"/>
      <c r="H16" s="938"/>
      <c r="I16" s="939"/>
      <c r="J16" s="939"/>
      <c r="K16" s="939"/>
      <c r="L16" s="940"/>
      <c r="M16" s="941"/>
      <c r="N16" s="941"/>
      <c r="O16" s="803"/>
      <c r="P16" s="282"/>
      <c r="Q16" s="604"/>
      <c r="AF16" s="276"/>
    </row>
    <row r="17" spans="1:32" s="280" customFormat="1" ht="13.8" thickBot="1">
      <c r="C17" s="280" t="s">
        <v>441</v>
      </c>
      <c r="D17" s="937"/>
      <c r="E17" s="938"/>
      <c r="F17" s="938"/>
      <c r="G17" s="938"/>
      <c r="H17" s="938"/>
      <c r="I17" s="1035">
        <v>352000</v>
      </c>
      <c r="J17" s="1035">
        <v>352000</v>
      </c>
      <c r="K17" s="1035">
        <v>0</v>
      </c>
      <c r="L17" s="940"/>
      <c r="M17" s="941"/>
      <c r="N17" s="941"/>
      <c r="O17" s="803"/>
      <c r="P17" s="282"/>
      <c r="Q17" s="604"/>
      <c r="AF17" s="276"/>
    </row>
    <row r="18" spans="1:32" s="280" customFormat="1" ht="13.8" thickTop="1">
      <c r="D18" s="937"/>
      <c r="E18" s="944"/>
      <c r="F18" s="944"/>
      <c r="G18" s="944"/>
      <c r="H18" s="944"/>
      <c r="I18" s="944"/>
      <c r="J18" s="944"/>
      <c r="K18" s="944"/>
      <c r="L18" s="945"/>
      <c r="M18" s="946"/>
      <c r="N18" s="946"/>
      <c r="O18" s="803"/>
      <c r="P18" s="282"/>
      <c r="Q18" s="604"/>
      <c r="AF18" s="276"/>
    </row>
    <row r="19" spans="1:32" s="280" customFormat="1" ht="13.8">
      <c r="C19" s="947" t="s">
        <v>442</v>
      </c>
      <c r="D19" s="937"/>
      <c r="E19" s="944"/>
      <c r="F19" s="944"/>
      <c r="G19" s="944"/>
      <c r="H19" s="944"/>
      <c r="I19" s="944"/>
      <c r="J19" s="944"/>
      <c r="K19" s="944"/>
      <c r="L19" s="945"/>
      <c r="M19" s="946"/>
      <c r="N19" s="946"/>
      <c r="O19" s="803"/>
      <c r="P19" s="282"/>
      <c r="Q19" s="604"/>
      <c r="AF19" s="276"/>
    </row>
    <row r="20" spans="1:32" s="279" customFormat="1">
      <c r="A20" s="607"/>
      <c r="C20" s="948"/>
      <c r="D20" s="948"/>
      <c r="E20" s="948"/>
      <c r="F20" s="948"/>
      <c r="G20" s="948"/>
      <c r="H20" s="948"/>
      <c r="I20" s="948"/>
      <c r="J20" s="948"/>
      <c r="K20" s="948"/>
      <c r="L20" s="948"/>
      <c r="M20" s="948"/>
      <c r="N20" s="721"/>
      <c r="O20" s="282"/>
      <c r="P20" s="604"/>
      <c r="Q20" s="280"/>
      <c r="R20" s="280"/>
      <c r="AE20" s="281"/>
    </row>
    <row r="21" spans="1:32" s="279" customFormat="1" ht="13.8">
      <c r="A21" s="1046" t="str">
        <f>A4&amp;".1"</f>
        <v>6.1.1</v>
      </c>
      <c r="C21" s="949" t="s">
        <v>544</v>
      </c>
      <c r="D21" s="950"/>
      <c r="E21" s="951"/>
      <c r="F21" s="952"/>
      <c r="G21" s="952"/>
      <c r="H21" s="952"/>
      <c r="I21" s="952"/>
      <c r="J21" s="953"/>
      <c r="K21" s="953"/>
      <c r="L21" s="953"/>
      <c r="M21" s="954"/>
      <c r="N21" s="954"/>
      <c r="O21" s="282"/>
      <c r="P21" s="604"/>
      <c r="Q21" s="280"/>
      <c r="R21" s="280"/>
      <c r="AE21" s="281"/>
    </row>
    <row r="22" spans="1:32" s="279" customFormat="1">
      <c r="A22" s="607"/>
      <c r="B22" s="721"/>
      <c r="C22" s="721"/>
      <c r="D22" s="721"/>
      <c r="E22" s="721"/>
      <c r="F22" s="721"/>
      <c r="G22" s="721"/>
      <c r="H22" s="721"/>
      <c r="I22" s="721"/>
      <c r="J22" s="721"/>
      <c r="K22" s="721"/>
      <c r="L22" s="721"/>
      <c r="M22" s="721"/>
      <c r="N22" s="721"/>
      <c r="O22" s="282"/>
      <c r="P22" s="604"/>
      <c r="Q22" s="280"/>
      <c r="R22" s="280"/>
      <c r="AE22" s="281"/>
    </row>
    <row r="23" spans="1:32" s="279" customFormat="1">
      <c r="A23" s="607"/>
      <c r="B23" s="1034"/>
      <c r="C23" s="1141" t="s">
        <v>38</v>
      </c>
      <c r="D23" s="1148" t="s">
        <v>118</v>
      </c>
      <c r="E23" s="1148" t="s">
        <v>119</v>
      </c>
      <c r="F23" s="1137" t="s">
        <v>120</v>
      </c>
      <c r="G23" s="1138"/>
      <c r="H23" s="1148" t="s">
        <v>121</v>
      </c>
      <c r="I23" s="1137" t="s">
        <v>116</v>
      </c>
      <c r="J23" s="1138"/>
      <c r="K23" s="1137" t="s">
        <v>122</v>
      </c>
      <c r="L23" s="1138"/>
      <c r="M23" s="1137" t="s">
        <v>123</v>
      </c>
      <c r="N23" s="1138"/>
      <c r="O23" s="721"/>
      <c r="P23" s="282"/>
      <c r="Q23" s="604"/>
      <c r="R23" s="280"/>
      <c r="S23" s="280"/>
      <c r="AF23" s="281"/>
    </row>
    <row r="24" spans="1:32" s="279" customFormat="1">
      <c r="A24" s="607"/>
      <c r="B24" s="1034"/>
      <c r="C24" s="1142"/>
      <c r="D24" s="1149"/>
      <c r="E24" s="1149"/>
      <c r="F24" s="1139"/>
      <c r="G24" s="1140"/>
      <c r="H24" s="1149"/>
      <c r="I24" s="1139"/>
      <c r="J24" s="1140"/>
      <c r="K24" s="1139"/>
      <c r="L24" s="1140"/>
      <c r="M24" s="1139"/>
      <c r="N24" s="1140"/>
      <c r="O24" s="721"/>
      <c r="P24" s="282"/>
      <c r="Q24" s="604"/>
      <c r="R24" s="280"/>
      <c r="S24" s="280"/>
      <c r="AF24" s="281"/>
    </row>
    <row r="25" spans="1:32" s="279" customFormat="1">
      <c r="A25" s="607"/>
      <c r="B25" s="168"/>
      <c r="C25" s="168"/>
      <c r="D25" s="168"/>
      <c r="E25" s="168"/>
      <c r="F25" s="168"/>
      <c r="H25" s="281"/>
      <c r="I25" s="168"/>
      <c r="J25" s="168"/>
      <c r="K25" s="168"/>
      <c r="M25" s="168"/>
      <c r="N25" s="281"/>
      <c r="O25" s="721"/>
      <c r="P25" s="282"/>
      <c r="Q25" s="604"/>
      <c r="R25" s="280"/>
      <c r="S25" s="280"/>
      <c r="AF25" s="281"/>
    </row>
    <row r="26" spans="1:32" s="279" customFormat="1">
      <c r="A26" s="607"/>
      <c r="B26" s="955"/>
      <c r="C26" s="1015" t="s">
        <v>316</v>
      </c>
      <c r="D26" s="956" t="s">
        <v>285</v>
      </c>
      <c r="E26" s="956" t="s">
        <v>284</v>
      </c>
      <c r="F26" s="1151" t="s">
        <v>542</v>
      </c>
      <c r="G26" s="1151"/>
      <c r="H26" s="956" t="s">
        <v>353</v>
      </c>
      <c r="I26" s="1147" t="s">
        <v>438</v>
      </c>
      <c r="J26" s="1147"/>
      <c r="K26" s="1146" t="s">
        <v>437</v>
      </c>
      <c r="L26" s="1147"/>
      <c r="M26" s="1136" t="s">
        <v>543</v>
      </c>
      <c r="N26" s="1136"/>
      <c r="O26" s="721"/>
      <c r="P26" s="282"/>
      <c r="Q26" s="604"/>
      <c r="R26" s="280"/>
      <c r="S26" s="280"/>
      <c r="AF26" s="281"/>
    </row>
    <row r="27" spans="1:32" s="279" customFormat="1">
      <c r="A27" s="957"/>
      <c r="B27" s="958"/>
      <c r="C27" s="950"/>
      <c r="D27" s="950"/>
      <c r="E27" s="951"/>
      <c r="F27" s="952"/>
      <c r="G27" s="952"/>
      <c r="H27" s="952"/>
      <c r="I27" s="952"/>
      <c r="J27" s="953"/>
      <c r="K27" s="953"/>
      <c r="L27" s="959"/>
      <c r="M27" s="1136"/>
      <c r="N27" s="1136"/>
      <c r="O27" s="280"/>
      <c r="P27" s="280"/>
      <c r="Q27" s="280"/>
      <c r="R27" s="280"/>
      <c r="AE27" s="281"/>
    </row>
    <row r="28" spans="1:32">
      <c r="B28" s="960"/>
      <c r="J28" s="273"/>
      <c r="K28" s="276"/>
      <c r="L28" s="961"/>
    </row>
    <row r="29" spans="1:32" ht="17.399999999999999">
      <c r="A29" s="1047">
        <v>6.2</v>
      </c>
      <c r="B29" s="168"/>
      <c r="C29" s="1005" t="s">
        <v>546</v>
      </c>
    </row>
    <row r="30" spans="1:32">
      <c r="B30" s="962"/>
      <c r="C30" s="963"/>
    </row>
    <row r="31" spans="1:32" ht="63.6" customHeight="1">
      <c r="B31" s="964"/>
      <c r="C31" s="1143" t="s">
        <v>38</v>
      </c>
      <c r="D31" s="1144"/>
      <c r="E31" s="928" t="s">
        <v>439</v>
      </c>
      <c r="F31" s="928" t="s">
        <v>39</v>
      </c>
      <c r="G31" s="928" t="s">
        <v>440</v>
      </c>
      <c r="H31" s="928" t="s">
        <v>484</v>
      </c>
      <c r="I31" s="928" t="s">
        <v>41</v>
      </c>
      <c r="J31" s="928" t="s">
        <v>40</v>
      </c>
      <c r="K31" s="928" t="s">
        <v>113</v>
      </c>
      <c r="L31" s="929" t="s">
        <v>114</v>
      </c>
      <c r="M31" s="929" t="s">
        <v>115</v>
      </c>
      <c r="N31" s="930" t="s">
        <v>117</v>
      </c>
      <c r="O31" s="277"/>
    </row>
    <row r="32" spans="1:32">
      <c r="B32" s="964"/>
      <c r="C32" s="964"/>
      <c r="D32" s="964"/>
      <c r="E32" s="1133" t="s">
        <v>558</v>
      </c>
      <c r="F32" s="1133"/>
      <c r="G32" s="1133"/>
      <c r="H32" s="1133"/>
      <c r="I32" s="1132" t="s">
        <v>398</v>
      </c>
      <c r="J32" s="1132"/>
      <c r="K32" s="1132"/>
      <c r="L32" s="964"/>
      <c r="M32" s="965"/>
      <c r="N32" s="965"/>
      <c r="O32" s="277"/>
    </row>
    <row r="33" spans="2:16">
      <c r="F33" s="273"/>
      <c r="G33" s="273"/>
      <c r="H33" s="273"/>
      <c r="I33" s="273"/>
      <c r="J33" s="273"/>
    </row>
    <row r="34" spans="2:16" ht="13.8">
      <c r="B34" s="168"/>
      <c r="C34" s="1145" t="s">
        <v>391</v>
      </c>
      <c r="D34" s="1145"/>
      <c r="E34" s="966">
        <v>675</v>
      </c>
      <c r="F34" s="967">
        <v>0</v>
      </c>
      <c r="G34" s="966">
        <v>675</v>
      </c>
      <c r="H34" s="966">
        <f>E34+F34-G34</f>
        <v>0</v>
      </c>
      <c r="I34" s="273">
        <v>0</v>
      </c>
      <c r="J34" s="273">
        <v>0</v>
      </c>
      <c r="K34" s="968">
        <f>I34-J34</f>
        <v>0</v>
      </c>
      <c r="L34" s="1040">
        <v>0</v>
      </c>
      <c r="M34" s="1040">
        <v>0</v>
      </c>
      <c r="N34" s="844">
        <f t="shared" ref="N34:N38" si="0">J34/3500000*100</f>
        <v>0</v>
      </c>
      <c r="O34" s="844"/>
      <c r="P34" s="845">
        <f>I34/4500000</f>
        <v>0</v>
      </c>
    </row>
    <row r="35" spans="2:16" ht="13.8">
      <c r="B35" s="168"/>
      <c r="C35" s="1145" t="s">
        <v>392</v>
      </c>
      <c r="D35" s="1145"/>
      <c r="E35" s="966">
        <v>200</v>
      </c>
      <c r="F35" s="1036">
        <v>400</v>
      </c>
      <c r="G35" s="966">
        <v>600</v>
      </c>
      <c r="H35" s="966">
        <f t="shared" ref="H35:H40" si="1">E35+F35-G35</f>
        <v>0</v>
      </c>
      <c r="I35" s="273">
        <v>0</v>
      </c>
      <c r="J35" s="273">
        <v>0</v>
      </c>
      <c r="K35" s="968">
        <f>I35-J35</f>
        <v>0</v>
      </c>
      <c r="L35" s="1040">
        <v>0</v>
      </c>
      <c r="M35" s="1040">
        <v>0</v>
      </c>
      <c r="N35" s="844">
        <f t="shared" si="0"/>
        <v>0</v>
      </c>
      <c r="O35" s="844"/>
      <c r="P35" s="845">
        <f>I35/4500000</f>
        <v>0</v>
      </c>
    </row>
    <row r="36" spans="2:16" ht="13.8">
      <c r="B36" s="168"/>
      <c r="C36" s="1145" t="s">
        <v>393</v>
      </c>
      <c r="D36" s="1145"/>
      <c r="E36" s="966">
        <v>170</v>
      </c>
      <c r="F36" s="1036">
        <v>340</v>
      </c>
      <c r="G36" s="966">
        <v>510</v>
      </c>
      <c r="H36" s="966">
        <f t="shared" si="1"/>
        <v>0</v>
      </c>
      <c r="I36" s="273">
        <v>0</v>
      </c>
      <c r="J36" s="273">
        <v>0</v>
      </c>
      <c r="K36" s="968">
        <f>I36-J36</f>
        <v>0</v>
      </c>
      <c r="L36" s="1040">
        <v>0</v>
      </c>
      <c r="M36" s="1040">
        <v>0</v>
      </c>
      <c r="N36" s="844">
        <f t="shared" si="0"/>
        <v>0</v>
      </c>
      <c r="O36" s="844"/>
      <c r="P36" s="845">
        <f>I36/4000000</f>
        <v>0</v>
      </c>
    </row>
    <row r="37" spans="2:16" ht="13.8">
      <c r="B37" s="168"/>
      <c r="C37" s="1145" t="s">
        <v>444</v>
      </c>
      <c r="D37" s="1145"/>
      <c r="E37" s="966">
        <v>250</v>
      </c>
      <c r="F37" s="1036">
        <v>500</v>
      </c>
      <c r="G37" s="966">
        <v>750</v>
      </c>
      <c r="H37" s="966">
        <f t="shared" si="1"/>
        <v>0</v>
      </c>
      <c r="I37" s="273">
        <v>0</v>
      </c>
      <c r="J37" s="273">
        <v>0</v>
      </c>
      <c r="K37" s="968">
        <f>I37-J37</f>
        <v>0</v>
      </c>
      <c r="L37" s="1040">
        <v>0</v>
      </c>
      <c r="M37" s="1040">
        <v>0</v>
      </c>
      <c r="N37" s="844">
        <f t="shared" si="0"/>
        <v>0</v>
      </c>
      <c r="O37" s="844"/>
      <c r="P37" s="845">
        <f>I37/3500000</f>
        <v>0</v>
      </c>
    </row>
    <row r="38" spans="2:16" ht="13.8">
      <c r="B38" s="168"/>
      <c r="C38" s="1145" t="s">
        <v>445</v>
      </c>
      <c r="D38" s="1145"/>
      <c r="E38" s="966">
        <v>0</v>
      </c>
      <c r="F38" s="1036">
        <v>675</v>
      </c>
      <c r="G38" s="966">
        <v>675</v>
      </c>
      <c r="H38" s="966">
        <f t="shared" si="1"/>
        <v>0</v>
      </c>
      <c r="I38" s="273">
        <v>0</v>
      </c>
      <c r="J38" s="273">
        <f>I38</f>
        <v>0</v>
      </c>
      <c r="K38" s="968">
        <f t="shared" ref="K38:K40" si="2">I38-J38</f>
        <v>0</v>
      </c>
      <c r="L38" s="1040">
        <v>0</v>
      </c>
      <c r="M38" s="1040">
        <v>0</v>
      </c>
      <c r="N38" s="844">
        <f t="shared" si="0"/>
        <v>0</v>
      </c>
      <c r="O38" s="844"/>
      <c r="P38" s="846">
        <f>I38/3500000</f>
        <v>0</v>
      </c>
    </row>
    <row r="39" spans="2:16" ht="13.8">
      <c r="B39" s="168"/>
      <c r="C39" s="1145" t="s">
        <v>446</v>
      </c>
      <c r="D39" s="1145"/>
      <c r="E39" s="966">
        <v>0</v>
      </c>
      <c r="F39" s="1036">
        <v>400</v>
      </c>
      <c r="G39" s="966">
        <v>0</v>
      </c>
      <c r="H39" s="966">
        <f t="shared" si="1"/>
        <v>400</v>
      </c>
      <c r="I39" s="273">
        <f>396748648/1000</f>
        <v>396748.64799999999</v>
      </c>
      <c r="J39" s="273">
        <f>I39</f>
        <v>396748.64799999999</v>
      </c>
      <c r="K39" s="968">
        <f t="shared" si="2"/>
        <v>0</v>
      </c>
      <c r="L39" s="1041">
        <f>J39/BS!G30</f>
        <v>4.1476357193619091E-2</v>
      </c>
      <c r="M39" s="1041">
        <f>J39/BS!G12</f>
        <v>0.3691883950270925</v>
      </c>
      <c r="N39" s="1041">
        <f>J39/3500000</f>
        <v>0.11335675657142857</v>
      </c>
      <c r="O39" s="844"/>
      <c r="P39" s="846">
        <f>I39/3500000</f>
        <v>0.11335675657142857</v>
      </c>
    </row>
    <row r="40" spans="2:16" ht="13.8">
      <c r="B40" s="168"/>
      <c r="C40" s="1145" t="s">
        <v>447</v>
      </c>
      <c r="D40" s="1145"/>
      <c r="E40" s="966">
        <v>0</v>
      </c>
      <c r="F40" s="1036">
        <v>275</v>
      </c>
      <c r="G40" s="966">
        <v>0</v>
      </c>
      <c r="H40" s="966">
        <f t="shared" si="1"/>
        <v>275</v>
      </c>
      <c r="I40" s="273">
        <f>271902271/1000</f>
        <v>271902.27100000001</v>
      </c>
      <c r="J40" s="273">
        <f>I40</f>
        <v>271902.27100000001</v>
      </c>
      <c r="K40" s="968">
        <f t="shared" si="2"/>
        <v>0</v>
      </c>
      <c r="L40" s="1041">
        <f>J40/BS!G30</f>
        <v>2.8424837162273627E-2</v>
      </c>
      <c r="M40" s="1041">
        <f>J40/BS!G12</f>
        <v>0.2530145056340849</v>
      </c>
      <c r="N40" s="1041">
        <f>J40/3500000</f>
        <v>7.7686363142857151E-2</v>
      </c>
      <c r="O40" s="844"/>
      <c r="P40" s="846">
        <f>I40/3500000</f>
        <v>7.7686363142857151E-2</v>
      </c>
    </row>
    <row r="41" spans="2:16">
      <c r="E41" s="966"/>
      <c r="F41" s="969"/>
      <c r="G41" s="966"/>
      <c r="H41" s="966"/>
      <c r="I41" s="273"/>
      <c r="J41" s="273"/>
      <c r="K41" s="970"/>
    </row>
    <row r="42" spans="2:16">
      <c r="F42" s="273"/>
      <c r="G42" s="273"/>
      <c r="H42" s="273"/>
      <c r="I42" s="273"/>
      <c r="J42" s="273"/>
    </row>
    <row r="43" spans="2:16" ht="13.8" thickBot="1">
      <c r="B43" s="168"/>
      <c r="C43" s="963" t="s">
        <v>545</v>
      </c>
      <c r="E43" s="971">
        <f t="shared" ref="E43:J43" si="3">SUM(E34:E40)</f>
        <v>1295</v>
      </c>
      <c r="F43" s="971">
        <f t="shared" si="3"/>
        <v>2590</v>
      </c>
      <c r="G43" s="971">
        <f t="shared" si="3"/>
        <v>3210</v>
      </c>
      <c r="H43" s="971">
        <f t="shared" si="3"/>
        <v>675</v>
      </c>
      <c r="I43" s="971">
        <f t="shared" si="3"/>
        <v>668650.91899999999</v>
      </c>
      <c r="J43" s="971">
        <f t="shared" si="3"/>
        <v>668650.91899999999</v>
      </c>
      <c r="K43" s="972">
        <f>SUM(K34:K42)</f>
        <v>0</v>
      </c>
      <c r="L43" s="973"/>
    </row>
    <row r="44" spans="2:16" ht="14.4" thickTop="1" thickBot="1">
      <c r="B44" s="963"/>
      <c r="E44" s="983"/>
      <c r="F44" s="983"/>
      <c r="G44" s="983"/>
      <c r="H44" s="1037"/>
      <c r="I44" s="1037"/>
      <c r="J44" s="1037"/>
      <c r="K44" s="1038"/>
      <c r="L44" s="973"/>
    </row>
    <row r="45" spans="2:16" ht="14.4" thickTop="1" thickBot="1">
      <c r="B45" s="168"/>
      <c r="C45" s="168" t="s">
        <v>483</v>
      </c>
      <c r="F45" s="273"/>
      <c r="G45" s="273"/>
      <c r="H45" s="974">
        <v>1295</v>
      </c>
      <c r="I45" s="975">
        <v>1278407</v>
      </c>
      <c r="J45" s="976">
        <v>1278407</v>
      </c>
      <c r="K45" s="976">
        <v>0</v>
      </c>
      <c r="L45" s="977">
        <v>0</v>
      </c>
    </row>
    <row r="46" spans="2:16" ht="13.8" thickTop="1"/>
    <row r="47" spans="2:16" ht="13.8">
      <c r="B47" s="168"/>
      <c r="C47" s="947" t="s">
        <v>448</v>
      </c>
    </row>
    <row r="48" spans="2:16" ht="13.8">
      <c r="B48" s="947"/>
    </row>
    <row r="49" spans="1:10" ht="13.8">
      <c r="B49" s="168"/>
      <c r="C49" s="978" t="s">
        <v>548</v>
      </c>
    </row>
    <row r="50" spans="1:10" ht="13.8">
      <c r="B50" s="947"/>
    </row>
    <row r="51" spans="1:10" ht="14.1" customHeight="1">
      <c r="B51" s="168"/>
      <c r="C51" s="1014" t="s">
        <v>449</v>
      </c>
      <c r="D51" s="979" t="s">
        <v>175</v>
      </c>
      <c r="E51" s="979" t="s">
        <v>450</v>
      </c>
      <c r="F51" s="979" t="s">
        <v>451</v>
      </c>
      <c r="G51" s="979" t="s">
        <v>452</v>
      </c>
      <c r="H51" s="1134" t="s">
        <v>453</v>
      </c>
      <c r="I51" s="1135"/>
    </row>
    <row r="52" spans="1:10" ht="13.8">
      <c r="B52" s="947"/>
    </row>
    <row r="53" spans="1:10" ht="13.8">
      <c r="B53" s="947"/>
      <c r="C53" s="1015" t="s">
        <v>446</v>
      </c>
      <c r="D53" s="980">
        <v>44504</v>
      </c>
      <c r="E53" s="981">
        <v>44685</v>
      </c>
      <c r="F53" s="1042" t="s">
        <v>454</v>
      </c>
      <c r="G53" s="982" t="s">
        <v>455</v>
      </c>
      <c r="H53" s="1163">
        <v>400000</v>
      </c>
      <c r="I53" s="1163"/>
    </row>
    <row r="54" spans="1:10" ht="13.8">
      <c r="B54" s="947"/>
      <c r="C54" s="1015" t="s">
        <v>447</v>
      </c>
      <c r="D54" s="980">
        <v>44516</v>
      </c>
      <c r="E54" s="981">
        <v>44697</v>
      </c>
      <c r="F54" s="1042" t="s">
        <v>454</v>
      </c>
      <c r="G54" s="982" t="s">
        <v>456</v>
      </c>
      <c r="H54" s="1163">
        <v>275000</v>
      </c>
      <c r="I54" s="1163"/>
    </row>
    <row r="55" spans="1:10" ht="14.4" thickBot="1">
      <c r="B55" s="947"/>
      <c r="H55" s="1015"/>
      <c r="I55" s="1039">
        <f>SUM(H53:I54)</f>
        <v>675000</v>
      </c>
    </row>
    <row r="56" spans="1:10" ht="14.4" thickTop="1">
      <c r="B56" s="947"/>
      <c r="I56" s="983"/>
    </row>
    <row r="57" spans="1:10" ht="13.8">
      <c r="B57" s="947"/>
      <c r="I57" s="983"/>
    </row>
    <row r="58" spans="1:10" ht="17.399999999999999">
      <c r="A58" s="1047">
        <v>6.3</v>
      </c>
      <c r="B58" s="947"/>
      <c r="C58" s="1006" t="s">
        <v>547</v>
      </c>
      <c r="I58" s="983"/>
    </row>
    <row r="59" spans="1:10" ht="13.8">
      <c r="B59" s="947"/>
      <c r="I59" s="983"/>
    </row>
    <row r="60" spans="1:10" ht="13.8">
      <c r="B60" s="947"/>
      <c r="C60" s="1167" t="s">
        <v>457</v>
      </c>
      <c r="D60" s="1155" t="s">
        <v>436</v>
      </c>
      <c r="E60" s="1155" t="s">
        <v>458</v>
      </c>
      <c r="F60" s="1155" t="s">
        <v>459</v>
      </c>
      <c r="G60" s="1155" t="s">
        <v>460</v>
      </c>
      <c r="H60" s="1152" t="s">
        <v>485</v>
      </c>
      <c r="I60" s="1155" t="s">
        <v>461</v>
      </c>
      <c r="J60" s="1155" t="s">
        <v>462</v>
      </c>
    </row>
    <row r="61" spans="1:10" ht="13.8">
      <c r="B61" s="947"/>
      <c r="C61" s="1168"/>
      <c r="D61" s="1156"/>
      <c r="E61" s="1156"/>
      <c r="F61" s="1156"/>
      <c r="G61" s="1156"/>
      <c r="H61" s="1153"/>
      <c r="I61" s="1156"/>
      <c r="J61" s="1156"/>
    </row>
    <row r="62" spans="1:10" ht="13.8">
      <c r="B62" s="947"/>
      <c r="C62" s="1168"/>
      <c r="D62" s="1156"/>
      <c r="E62" s="1156"/>
      <c r="F62" s="1156"/>
      <c r="G62" s="1156"/>
      <c r="H62" s="1153"/>
      <c r="I62" s="1156"/>
      <c r="J62" s="1156"/>
    </row>
    <row r="63" spans="1:10" ht="13.8">
      <c r="B63" s="947"/>
      <c r="C63" s="1168"/>
      <c r="D63" s="1156"/>
      <c r="E63" s="1156"/>
      <c r="F63" s="1156"/>
      <c r="G63" s="1156"/>
      <c r="H63" s="1153"/>
      <c r="I63" s="1156"/>
      <c r="J63" s="1156"/>
    </row>
    <row r="64" spans="1:10" ht="13.8">
      <c r="B64" s="947"/>
      <c r="C64" s="1168"/>
      <c r="D64" s="1157"/>
      <c r="E64" s="1157"/>
      <c r="F64" s="1157"/>
      <c r="G64" s="1157"/>
      <c r="H64" s="1154"/>
      <c r="I64" s="1157"/>
      <c r="J64" s="1157"/>
    </row>
    <row r="65" spans="1:10" ht="13.8">
      <c r="B65" s="947"/>
      <c r="C65" s="1169"/>
      <c r="D65" s="1158" t="s">
        <v>463</v>
      </c>
      <c r="E65" s="1159"/>
      <c r="F65" s="1159"/>
      <c r="G65" s="1159"/>
      <c r="H65" s="1160"/>
      <c r="I65" s="1161" t="s">
        <v>464</v>
      </c>
      <c r="J65" s="1162"/>
    </row>
    <row r="66" spans="1:10" ht="13.8">
      <c r="B66" s="947"/>
      <c r="I66" s="983"/>
    </row>
    <row r="67" spans="1:10" ht="13.8">
      <c r="B67" s="947"/>
      <c r="C67" s="984" t="s">
        <v>549</v>
      </c>
      <c r="I67" s="983"/>
    </row>
    <row r="68" spans="1:10" ht="14.4" thickBot="1">
      <c r="B68" s="947"/>
      <c r="C68" s="985" t="s">
        <v>465</v>
      </c>
      <c r="D68" s="986">
        <v>3892285</v>
      </c>
      <c r="E68" s="987">
        <v>2328321.0290000001</v>
      </c>
      <c r="F68" s="987">
        <v>0</v>
      </c>
      <c r="G68" s="986">
        <f>D68+E68</f>
        <v>6220606.0290000001</v>
      </c>
      <c r="H68" s="987">
        <f>D68+E68+F68-G68</f>
        <v>0</v>
      </c>
      <c r="I68" s="983" t="s">
        <v>94</v>
      </c>
      <c r="J68" s="168" t="s">
        <v>94</v>
      </c>
    </row>
    <row r="69" spans="1:10" ht="14.4" thickTop="1">
      <c r="B69" s="947"/>
      <c r="I69" s="983"/>
    </row>
    <row r="70" spans="1:10" ht="14.4" thickBot="1">
      <c r="B70" s="947"/>
      <c r="C70" s="988" t="s">
        <v>441</v>
      </c>
      <c r="D70" s="989">
        <v>0</v>
      </c>
      <c r="E70" s="990">
        <v>5468061</v>
      </c>
      <c r="F70" s="990">
        <v>40014</v>
      </c>
      <c r="G70" s="990">
        <v>1615790</v>
      </c>
      <c r="H70" s="990">
        <v>3892285</v>
      </c>
      <c r="I70" s="983"/>
    </row>
    <row r="71" spans="1:10" ht="14.4" thickTop="1">
      <c r="B71" s="947"/>
      <c r="I71" s="983"/>
    </row>
    <row r="73" spans="1:10" ht="17.399999999999999">
      <c r="A73" s="1047">
        <v>6.4</v>
      </c>
      <c r="B73" s="991"/>
      <c r="C73" s="1007" t="s">
        <v>550</v>
      </c>
    </row>
    <row r="74" spans="1:10" ht="13.8">
      <c r="B74" s="991"/>
    </row>
    <row r="75" spans="1:10" ht="14.4" customHeight="1">
      <c r="C75" s="1170" t="s">
        <v>551</v>
      </c>
      <c r="D75" s="1166" t="s">
        <v>466</v>
      </c>
      <c r="E75" s="1150" t="s">
        <v>394</v>
      </c>
      <c r="F75" s="1150" t="s">
        <v>118</v>
      </c>
      <c r="G75" s="1150" t="s">
        <v>436</v>
      </c>
      <c r="H75" s="1150" t="s">
        <v>39</v>
      </c>
      <c r="I75" s="1150" t="s">
        <v>467</v>
      </c>
      <c r="J75" s="1150" t="s">
        <v>484</v>
      </c>
    </row>
    <row r="76" spans="1:10" ht="14.1" customHeight="1">
      <c r="C76" s="1171"/>
      <c r="D76" s="1166"/>
      <c r="E76" s="1150"/>
      <c r="F76" s="1150"/>
      <c r="G76" s="1150"/>
      <c r="H76" s="1150"/>
      <c r="I76" s="1150"/>
      <c r="J76" s="1150"/>
    </row>
    <row r="77" spans="1:10" ht="13.35" customHeight="1">
      <c r="C77" s="1171"/>
      <c r="D77" s="1166"/>
      <c r="E77" s="1150"/>
      <c r="F77" s="1150"/>
      <c r="G77" s="1150"/>
      <c r="H77" s="1150"/>
      <c r="I77" s="1150"/>
      <c r="J77" s="1150"/>
    </row>
    <row r="78" spans="1:10" ht="14.1" customHeight="1">
      <c r="C78" s="1172"/>
      <c r="D78" s="1166"/>
      <c r="E78" s="1150"/>
      <c r="F78" s="1150"/>
      <c r="G78" s="1150"/>
      <c r="H78" s="1150"/>
      <c r="I78" s="1150"/>
      <c r="J78" s="1150"/>
    </row>
    <row r="79" spans="1:10">
      <c r="G79" s="1132" t="s">
        <v>398</v>
      </c>
      <c r="H79" s="1132"/>
      <c r="I79" s="1132"/>
      <c r="J79" s="804"/>
    </row>
    <row r="81" spans="3:10">
      <c r="C81" s="168" t="s">
        <v>395</v>
      </c>
      <c r="D81" s="970">
        <v>7.2499999999999995E-2</v>
      </c>
      <c r="E81" s="1044">
        <v>44389</v>
      </c>
      <c r="F81" s="1043" t="s">
        <v>416</v>
      </c>
      <c r="G81" s="168">
        <v>1300000</v>
      </c>
      <c r="H81" s="168">
        <v>0</v>
      </c>
      <c r="I81" s="168">
        <v>1300000</v>
      </c>
      <c r="J81" s="168">
        <v>0</v>
      </c>
    </row>
    <row r="82" spans="3:10">
      <c r="C82" s="168" t="s">
        <v>468</v>
      </c>
      <c r="D82" s="970">
        <v>7.0499999999999993E-2</v>
      </c>
      <c r="E82" s="1044">
        <v>44453</v>
      </c>
      <c r="F82" s="1043" t="s">
        <v>285</v>
      </c>
      <c r="G82" s="168">
        <v>1300000</v>
      </c>
      <c r="H82" s="168">
        <v>0</v>
      </c>
      <c r="I82" s="168">
        <v>1300000</v>
      </c>
      <c r="J82" s="168">
        <v>0</v>
      </c>
    </row>
    <row r="83" spans="3:10">
      <c r="C83" s="168" t="s">
        <v>395</v>
      </c>
      <c r="D83" s="970">
        <v>7.7499999999999999E-2</v>
      </c>
      <c r="E83" s="1044">
        <v>44475</v>
      </c>
      <c r="F83" s="1043" t="s">
        <v>416</v>
      </c>
      <c r="G83" s="168">
        <v>0</v>
      </c>
      <c r="H83" s="168">
        <v>1700000</v>
      </c>
      <c r="I83" s="168">
        <v>1700000</v>
      </c>
      <c r="J83" s="168">
        <v>0</v>
      </c>
    </row>
    <row r="84" spans="3:10">
      <c r="C84" s="168" t="s">
        <v>468</v>
      </c>
      <c r="D84" s="970">
        <v>6.8500000000000005E-2</v>
      </c>
      <c r="E84" s="1044">
        <v>44462</v>
      </c>
      <c r="F84" s="1043" t="s">
        <v>285</v>
      </c>
      <c r="G84" s="168">
        <v>0</v>
      </c>
      <c r="H84" s="168">
        <v>1700000</v>
      </c>
      <c r="I84" s="168">
        <v>1700000</v>
      </c>
      <c r="J84" s="168">
        <v>0</v>
      </c>
    </row>
    <row r="85" spans="3:10">
      <c r="C85" s="168" t="s">
        <v>395</v>
      </c>
      <c r="D85" s="970">
        <v>7.7499999999999999E-2</v>
      </c>
      <c r="E85" s="1044">
        <v>44567</v>
      </c>
      <c r="F85" s="1043" t="s">
        <v>416</v>
      </c>
      <c r="G85" s="168">
        <v>0</v>
      </c>
      <c r="H85" s="168">
        <v>1350000</v>
      </c>
      <c r="I85" s="168">
        <v>1350000</v>
      </c>
      <c r="J85" s="168">
        <v>0</v>
      </c>
    </row>
    <row r="86" spans="3:10">
      <c r="C86" s="168" t="s">
        <v>469</v>
      </c>
      <c r="D86" s="970">
        <v>7.3999999999999996E-2</v>
      </c>
      <c r="E86" s="1044">
        <v>44529</v>
      </c>
      <c r="F86" s="1043" t="s">
        <v>415</v>
      </c>
      <c r="G86" s="168">
        <v>0</v>
      </c>
      <c r="H86" s="168">
        <v>1300000</v>
      </c>
      <c r="I86" s="168">
        <v>1300000</v>
      </c>
      <c r="J86" s="168">
        <v>0</v>
      </c>
    </row>
    <row r="87" spans="3:10">
      <c r="C87" s="168" t="s">
        <v>395</v>
      </c>
      <c r="D87" s="970">
        <v>8.5000000000000006E-2</v>
      </c>
      <c r="E87" s="1044">
        <v>44532</v>
      </c>
      <c r="F87" s="1043" t="s">
        <v>416</v>
      </c>
      <c r="G87" s="168">
        <v>0</v>
      </c>
      <c r="H87" s="168">
        <v>1350000</v>
      </c>
      <c r="I87" s="168">
        <v>1350000</v>
      </c>
      <c r="J87" s="168">
        <v>0</v>
      </c>
    </row>
    <row r="88" spans="3:10">
      <c r="C88" s="168" t="s">
        <v>468</v>
      </c>
      <c r="D88" s="970">
        <v>7.2999999999999995E-2</v>
      </c>
      <c r="E88" s="1044">
        <v>44553</v>
      </c>
      <c r="F88" s="1043" t="s">
        <v>285</v>
      </c>
      <c r="G88" s="168">
        <v>0</v>
      </c>
      <c r="H88" s="168">
        <v>1675000</v>
      </c>
      <c r="I88" s="168">
        <v>1675000</v>
      </c>
      <c r="J88" s="168">
        <v>0</v>
      </c>
    </row>
    <row r="89" spans="3:10">
      <c r="C89" s="168" t="s">
        <v>469</v>
      </c>
      <c r="D89" s="970">
        <v>0.1</v>
      </c>
      <c r="E89" s="1044">
        <v>44629</v>
      </c>
      <c r="F89" s="1043" t="s">
        <v>415</v>
      </c>
      <c r="G89" s="168">
        <v>0</v>
      </c>
      <c r="H89" s="168">
        <v>1300000</v>
      </c>
      <c r="I89" s="168">
        <v>1300000</v>
      </c>
      <c r="J89" s="168">
        <v>0</v>
      </c>
    </row>
    <row r="90" spans="3:10">
      <c r="C90" s="168" t="s">
        <v>468</v>
      </c>
      <c r="D90" s="970">
        <v>0.10100000000000001</v>
      </c>
      <c r="E90" s="1044">
        <v>44634</v>
      </c>
      <c r="F90" s="1043" t="s">
        <v>285</v>
      </c>
      <c r="G90" s="168">
        <v>0</v>
      </c>
      <c r="H90" s="168">
        <v>650000</v>
      </c>
      <c r="I90" s="168">
        <v>650000</v>
      </c>
      <c r="J90" s="168">
        <v>0</v>
      </c>
    </row>
    <row r="91" spans="3:10">
      <c r="C91" s="168" t="s">
        <v>468</v>
      </c>
      <c r="D91" s="970">
        <v>0.10100000000000001</v>
      </c>
      <c r="E91" s="1044">
        <v>44634</v>
      </c>
      <c r="F91" s="1043" t="s">
        <v>285</v>
      </c>
      <c r="G91" s="168">
        <v>0</v>
      </c>
      <c r="H91" s="168">
        <v>650000</v>
      </c>
      <c r="I91" s="168">
        <v>650000</v>
      </c>
      <c r="J91" s="168">
        <v>0</v>
      </c>
    </row>
    <row r="92" spans="3:10">
      <c r="F92" s="1043"/>
    </row>
    <row r="93" spans="3:10" ht="14.4" thickBot="1">
      <c r="C93" s="963" t="s">
        <v>545</v>
      </c>
      <c r="G93" s="992">
        <f>SUM(G81:G91)</f>
        <v>2600000</v>
      </c>
      <c r="H93" s="992">
        <f t="shared" ref="H93:J93" si="4">SUM(H81:H91)</f>
        <v>11675000</v>
      </c>
      <c r="I93" s="992">
        <f t="shared" si="4"/>
        <v>14275000</v>
      </c>
      <c r="J93" s="992">
        <f t="shared" si="4"/>
        <v>0</v>
      </c>
    </row>
    <row r="94" spans="3:10" ht="13.8" thickTop="1">
      <c r="I94" s="273">
        <v>0</v>
      </c>
    </row>
    <row r="95" spans="3:10" ht="14.4" thickBot="1">
      <c r="C95" s="168" t="s">
        <v>483</v>
      </c>
      <c r="G95" s="993">
        <v>0</v>
      </c>
      <c r="H95" s="993">
        <v>2600000</v>
      </c>
      <c r="I95" s="993">
        <v>0</v>
      </c>
      <c r="J95" s="993">
        <f>G93</f>
        <v>2600000</v>
      </c>
    </row>
    <row r="96" spans="3:10" ht="13.8" thickTop="1"/>
    <row r="97" spans="1:32" ht="13.8">
      <c r="A97" s="275"/>
      <c r="B97" s="994"/>
      <c r="C97" s="273"/>
      <c r="D97" s="273"/>
      <c r="E97" s="273"/>
      <c r="F97" s="273"/>
      <c r="G97" s="273"/>
      <c r="H97" s="273"/>
      <c r="I97" s="273"/>
      <c r="J97" s="273"/>
      <c r="K97" s="276"/>
    </row>
    <row r="98" spans="1:32">
      <c r="A98" s="275"/>
      <c r="B98" s="720"/>
      <c r="C98" s="273"/>
      <c r="D98" s="273"/>
      <c r="E98" s="273"/>
      <c r="F98" s="273"/>
      <c r="G98" s="273"/>
      <c r="H98" s="273"/>
      <c r="I98" s="273"/>
      <c r="J98" s="273"/>
      <c r="K98" s="276"/>
    </row>
    <row r="99" spans="1:32">
      <c r="A99" s="275"/>
      <c r="B99" s="720"/>
      <c r="C99" s="273"/>
      <c r="D99" s="273"/>
      <c r="E99" s="273"/>
      <c r="F99" s="273"/>
      <c r="G99" s="273"/>
      <c r="H99" s="273"/>
      <c r="I99" s="995"/>
      <c r="J99" s="273"/>
      <c r="K99" s="276"/>
    </row>
    <row r="100" spans="1:32">
      <c r="A100" s="275"/>
      <c r="B100" s="720"/>
      <c r="C100" s="273"/>
      <c r="D100" s="273"/>
      <c r="E100" s="273"/>
      <c r="F100" s="273"/>
      <c r="G100" s="273"/>
      <c r="H100" s="273"/>
      <c r="I100" s="996"/>
      <c r="J100" s="273"/>
      <c r="K100" s="276"/>
    </row>
    <row r="101" spans="1:32">
      <c r="A101" s="275"/>
      <c r="B101" s="720"/>
      <c r="C101" s="273"/>
      <c r="D101" s="273"/>
      <c r="E101" s="273"/>
      <c r="F101" s="273"/>
      <c r="G101" s="273"/>
      <c r="H101" s="273"/>
      <c r="I101" s="997"/>
      <c r="J101" s="273"/>
      <c r="K101" s="276"/>
    </row>
    <row r="102" spans="1:32" ht="13.8">
      <c r="A102" s="275"/>
      <c r="B102" s="720"/>
      <c r="C102" s="998"/>
      <c r="D102" s="273"/>
      <c r="E102" s="273"/>
      <c r="F102" s="273"/>
      <c r="G102" s="273"/>
      <c r="H102" s="273"/>
      <c r="I102" s="273"/>
      <c r="J102" s="273"/>
      <c r="K102" s="276"/>
    </row>
    <row r="103" spans="1:32" ht="13.8">
      <c r="A103" s="275"/>
      <c r="B103" s="720"/>
      <c r="C103" s="998"/>
      <c r="D103" s="273"/>
      <c r="E103" s="273"/>
      <c r="F103" s="273"/>
      <c r="G103" s="273"/>
      <c r="H103" s="273"/>
      <c r="I103" s="273"/>
      <c r="J103" s="273"/>
      <c r="K103" s="276"/>
    </row>
    <row r="104" spans="1:32" ht="13.8">
      <c r="A104" s="275"/>
      <c r="B104" s="720"/>
      <c r="C104" s="998"/>
      <c r="D104" s="273"/>
      <c r="E104" s="273"/>
      <c r="F104" s="273"/>
      <c r="G104" s="273"/>
      <c r="H104" s="273"/>
      <c r="I104" s="273"/>
      <c r="J104" s="273"/>
      <c r="K104" s="276"/>
    </row>
    <row r="105" spans="1:32" ht="13.8">
      <c r="A105" s="275"/>
      <c r="B105" s="720"/>
      <c r="C105" s="998"/>
      <c r="D105" s="273"/>
      <c r="E105" s="273"/>
      <c r="F105" s="273"/>
      <c r="G105" s="273"/>
      <c r="H105" s="273"/>
      <c r="I105" s="273"/>
      <c r="J105" s="273"/>
      <c r="K105" s="276"/>
    </row>
    <row r="106" spans="1:32">
      <c r="A106" s="275"/>
      <c r="B106" s="720"/>
      <c r="C106" s="273"/>
      <c r="D106" s="273"/>
      <c r="E106" s="273"/>
      <c r="F106" s="273"/>
      <c r="G106" s="273"/>
      <c r="H106" s="273"/>
      <c r="I106" s="273"/>
      <c r="J106" s="273"/>
      <c r="K106" s="276"/>
    </row>
    <row r="107" spans="1:32">
      <c r="A107" s="275"/>
      <c r="B107" s="720"/>
      <c r="C107" s="1164"/>
      <c r="D107" s="1164"/>
      <c r="E107" s="1164"/>
      <c r="F107" s="1164"/>
      <c r="G107" s="1164"/>
      <c r="H107" s="1164"/>
      <c r="I107" s="1164"/>
      <c r="J107" s="1165"/>
      <c r="K107" s="273"/>
      <c r="L107" s="276"/>
      <c r="N107" s="723"/>
      <c r="O107" s="722"/>
      <c r="P107" s="274"/>
      <c r="AE107" s="168"/>
      <c r="AF107" s="281"/>
    </row>
    <row r="108" spans="1:32">
      <c r="A108" s="275"/>
      <c r="B108" s="720"/>
      <c r="C108" s="1164"/>
      <c r="D108" s="1164"/>
      <c r="E108" s="1164"/>
      <c r="F108" s="1164"/>
      <c r="G108" s="1164"/>
      <c r="H108" s="1164"/>
      <c r="I108" s="1164"/>
      <c r="J108" s="1165"/>
      <c r="K108" s="273"/>
      <c r="L108" s="276"/>
      <c r="N108" s="723"/>
      <c r="O108" s="722"/>
      <c r="P108" s="274"/>
      <c r="AE108" s="168"/>
      <c r="AF108" s="281"/>
    </row>
    <row r="109" spans="1:32">
      <c r="A109" s="275"/>
      <c r="B109" s="720"/>
      <c r="C109" s="1164"/>
      <c r="D109" s="1164"/>
      <c r="E109" s="1164"/>
      <c r="F109" s="1164"/>
      <c r="G109" s="1164"/>
      <c r="H109" s="1164"/>
      <c r="I109" s="1164"/>
      <c r="J109" s="1165"/>
      <c r="K109" s="273"/>
      <c r="L109" s="276"/>
      <c r="N109" s="723"/>
      <c r="O109" s="722"/>
      <c r="P109" s="274"/>
      <c r="AE109" s="168"/>
      <c r="AF109" s="281"/>
    </row>
    <row r="110" spans="1:32">
      <c r="A110" s="275"/>
      <c r="B110" s="720"/>
      <c r="C110" s="273"/>
      <c r="D110" s="273"/>
      <c r="E110" s="273"/>
      <c r="F110" s="273"/>
      <c r="G110" s="1132"/>
      <c r="H110" s="1132"/>
      <c r="I110" s="1132"/>
      <c r="J110" s="1132"/>
      <c r="K110" s="1132"/>
      <c r="L110" s="281"/>
      <c r="N110" s="723"/>
      <c r="O110" s="722"/>
      <c r="P110" s="274"/>
      <c r="AE110" s="168"/>
      <c r="AF110" s="281"/>
    </row>
    <row r="111" spans="1:32">
      <c r="A111" s="275"/>
      <c r="B111" s="720"/>
      <c r="C111" s="273"/>
      <c r="D111" s="273"/>
      <c r="E111" s="273"/>
      <c r="F111" s="273"/>
      <c r="G111" s="273"/>
      <c r="H111" s="273"/>
      <c r="I111" s="273"/>
      <c r="J111" s="273"/>
      <c r="K111" s="273"/>
      <c r="L111" s="281"/>
      <c r="N111" s="723"/>
      <c r="O111" s="722"/>
      <c r="P111" s="274"/>
      <c r="AE111" s="168"/>
      <c r="AF111" s="281"/>
    </row>
    <row r="112" spans="1:32">
      <c r="A112" s="275"/>
      <c r="B112" s="720"/>
      <c r="C112" s="273"/>
      <c r="D112" s="999"/>
      <c r="E112" s="999"/>
      <c r="F112" s="969"/>
      <c r="G112" s="273"/>
      <c r="H112" s="273"/>
      <c r="I112" s="273"/>
      <c r="J112" s="273"/>
      <c r="K112" s="273"/>
      <c r="L112" s="281"/>
      <c r="M112" s="1000"/>
      <c r="N112" s="1001"/>
      <c r="O112" s="722"/>
      <c r="P112" s="274"/>
      <c r="AE112" s="168"/>
      <c r="AF112" s="281"/>
    </row>
    <row r="113" spans="1:32">
      <c r="A113" s="275"/>
      <c r="B113" s="720"/>
      <c r="C113" s="273"/>
      <c r="D113" s="999"/>
      <c r="E113" s="999"/>
      <c r="F113" s="969"/>
      <c r="G113" s="273"/>
      <c r="H113" s="273"/>
      <c r="I113" s="273"/>
      <c r="J113" s="273"/>
      <c r="K113" s="273"/>
      <c r="L113" s="281"/>
      <c r="M113" s="1000"/>
      <c r="N113" s="1001"/>
      <c r="O113" s="722"/>
      <c r="P113" s="274"/>
      <c r="AE113" s="168"/>
      <c r="AF113" s="281"/>
    </row>
    <row r="114" spans="1:32">
      <c r="A114" s="275"/>
      <c r="B114" s="720"/>
      <c r="C114" s="273"/>
      <c r="D114" s="1002"/>
      <c r="E114" s="1002"/>
      <c r="F114" s="969"/>
      <c r="G114" s="273"/>
      <c r="H114" s="273"/>
      <c r="I114" s="273"/>
      <c r="J114" s="273"/>
      <c r="K114" s="273"/>
      <c r="L114" s="281"/>
      <c r="M114" s="1000"/>
      <c r="N114" s="1001"/>
      <c r="O114" s="722"/>
      <c r="P114" s="274"/>
      <c r="AE114" s="168"/>
      <c r="AF114" s="281"/>
    </row>
    <row r="115" spans="1:32">
      <c r="A115" s="275"/>
      <c r="B115" s="720"/>
      <c r="C115" s="273"/>
      <c r="D115" s="1002"/>
      <c r="E115" s="1002"/>
      <c r="F115" s="969"/>
      <c r="G115" s="273"/>
      <c r="H115" s="273"/>
      <c r="I115" s="273"/>
      <c r="J115" s="273"/>
      <c r="K115" s="273"/>
      <c r="L115" s="281"/>
      <c r="M115" s="1000"/>
      <c r="N115" s="1001"/>
      <c r="O115" s="722"/>
      <c r="P115" s="274"/>
      <c r="AE115" s="168"/>
      <c r="AF115" s="281"/>
    </row>
    <row r="116" spans="1:32">
      <c r="A116" s="275"/>
      <c r="B116" s="720"/>
      <c r="C116" s="273"/>
      <c r="D116" s="273"/>
      <c r="E116" s="273"/>
      <c r="F116" s="273"/>
      <c r="G116" s="273"/>
      <c r="H116" s="273"/>
      <c r="I116" s="273"/>
      <c r="J116" s="273"/>
      <c r="K116" s="273"/>
      <c r="L116" s="281"/>
      <c r="N116" s="723"/>
      <c r="O116" s="722"/>
      <c r="P116" s="274"/>
      <c r="AE116" s="168"/>
      <c r="AF116" s="281"/>
    </row>
    <row r="117" spans="1:32">
      <c r="A117" s="275"/>
      <c r="B117" s="720"/>
      <c r="C117" s="983"/>
      <c r="D117" s="273"/>
      <c r="E117" s="273"/>
      <c r="F117" s="273"/>
      <c r="G117" s="273"/>
      <c r="H117" s="273"/>
      <c r="I117" s="273"/>
      <c r="J117" s="273"/>
      <c r="K117" s="273"/>
      <c r="L117" s="281"/>
      <c r="N117" s="723"/>
      <c r="O117" s="722"/>
      <c r="P117" s="274"/>
      <c r="AE117" s="168"/>
      <c r="AF117" s="281"/>
    </row>
    <row r="118" spans="1:32">
      <c r="A118" s="275"/>
      <c r="B118" s="720"/>
      <c r="C118" s="1003"/>
      <c r="D118" s="273"/>
      <c r="E118" s="273"/>
      <c r="F118" s="273"/>
      <c r="G118" s="273"/>
      <c r="H118" s="273"/>
      <c r="I118" s="273"/>
      <c r="J118" s="273"/>
      <c r="K118" s="273"/>
      <c r="L118" s="281"/>
      <c r="N118" s="723"/>
      <c r="O118" s="722"/>
      <c r="P118" s="274"/>
      <c r="AE118" s="168"/>
      <c r="AF118" s="281"/>
    </row>
    <row r="119" spans="1:32">
      <c r="A119" s="275"/>
      <c r="B119" s="720"/>
      <c r="C119" s="273"/>
      <c r="D119" s="273"/>
      <c r="E119" s="273"/>
      <c r="F119" s="273"/>
      <c r="G119" s="273"/>
      <c r="H119" s="273"/>
      <c r="I119" s="273"/>
      <c r="J119" s="273"/>
      <c r="K119" s="276"/>
    </row>
    <row r="120" spans="1:32">
      <c r="A120" s="275"/>
      <c r="B120" s="720"/>
      <c r="C120" s="273"/>
      <c r="D120" s="273"/>
      <c r="E120" s="273"/>
      <c r="F120" s="273"/>
      <c r="G120" s="273"/>
      <c r="H120" s="273"/>
      <c r="I120" s="273"/>
      <c r="J120" s="273"/>
      <c r="K120" s="276"/>
    </row>
  </sheetData>
  <mergeCells count="55">
    <mergeCell ref="G79:I79"/>
    <mergeCell ref="D75:D78"/>
    <mergeCell ref="E75:E78"/>
    <mergeCell ref="F75:F78"/>
    <mergeCell ref="C60:C65"/>
    <mergeCell ref="D60:D64"/>
    <mergeCell ref="E60:E64"/>
    <mergeCell ref="F60:F64"/>
    <mergeCell ref="G60:G64"/>
    <mergeCell ref="C75:C78"/>
    <mergeCell ref="G75:G78"/>
    <mergeCell ref="H75:H78"/>
    <mergeCell ref="I75:I78"/>
    <mergeCell ref="G110:K110"/>
    <mergeCell ref="C107:C109"/>
    <mergeCell ref="E107:E109"/>
    <mergeCell ref="F107:F109"/>
    <mergeCell ref="G107:G109"/>
    <mergeCell ref="I107:I109"/>
    <mergeCell ref="J107:J109"/>
    <mergeCell ref="D107:D109"/>
    <mergeCell ref="H107:H109"/>
    <mergeCell ref="J75:J78"/>
    <mergeCell ref="F26:G26"/>
    <mergeCell ref="H60:H64"/>
    <mergeCell ref="I60:I64"/>
    <mergeCell ref="J60:J64"/>
    <mergeCell ref="D65:H65"/>
    <mergeCell ref="I65:J65"/>
    <mergeCell ref="H53:I53"/>
    <mergeCell ref="H54:I54"/>
    <mergeCell ref="C37:D37"/>
    <mergeCell ref="C38:D38"/>
    <mergeCell ref="C39:D39"/>
    <mergeCell ref="C40:D40"/>
    <mergeCell ref="I32:K32"/>
    <mergeCell ref="C23:C24"/>
    <mergeCell ref="C31:D31"/>
    <mergeCell ref="C34:D34"/>
    <mergeCell ref="C35:D35"/>
    <mergeCell ref="C36:D36"/>
    <mergeCell ref="D23:D24"/>
    <mergeCell ref="I7:K7"/>
    <mergeCell ref="E7:H7"/>
    <mergeCell ref="E32:H32"/>
    <mergeCell ref="H51:I51"/>
    <mergeCell ref="M26:N27"/>
    <mergeCell ref="I23:J24"/>
    <mergeCell ref="M23:N24"/>
    <mergeCell ref="K26:L26"/>
    <mergeCell ref="I26:J26"/>
    <mergeCell ref="K23:L24"/>
    <mergeCell ref="E23:E24"/>
    <mergeCell ref="H23:H24"/>
    <mergeCell ref="F23:G24"/>
  </mergeCells>
  <conditionalFormatting sqref="G51 C51">
    <cfRule type="containsText" dxfId="5" priority="6" stopIfTrue="1" operator="containsText" text="AA+">
      <formula>NOT(ISERROR(SEARCH("AA+",C51)))</formula>
    </cfRule>
  </conditionalFormatting>
  <conditionalFormatting sqref="C58">
    <cfRule type="containsText" dxfId="4" priority="5" stopIfTrue="1" operator="containsText" text="AA+">
      <formula>NOT(ISERROR(SEARCH("AA+",C58)))</formula>
    </cfRule>
  </conditionalFormatting>
  <conditionalFormatting sqref="C67">
    <cfRule type="containsText" dxfId="3" priority="4" stopIfTrue="1" operator="containsText" text="AA+">
      <formula>NOT(ISERROR(SEARCH("AA+",C67)))</formula>
    </cfRule>
  </conditionalFormatting>
  <conditionalFormatting sqref="C68">
    <cfRule type="containsText" dxfId="2" priority="3" stopIfTrue="1" operator="containsText" text="AA+">
      <formula>NOT(ISERROR(SEARCH("AA+",C68)))</formula>
    </cfRule>
  </conditionalFormatting>
  <conditionalFormatting sqref="C70">
    <cfRule type="containsText" dxfId="1" priority="2" stopIfTrue="1" operator="containsText" text="AA+">
      <formula>NOT(ISERROR(SEARCH("AA+",C70)))</formula>
    </cfRule>
  </conditionalFormatting>
  <conditionalFormatting sqref="C73">
    <cfRule type="containsText" dxfId="0" priority="1" stopIfTrue="1" operator="containsText" text="AA+">
      <formula>NOT(ISERROR(SEARCH("AA+",C73)))</formula>
    </cfRule>
  </conditionalFormatting>
  <pageMargins left="0.5" right="0.5" top="0.75" bottom="0.5" header="0.3" footer="0.2"/>
  <pageSetup paperSize="9" scale="35" firstPageNumber="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P a r t M a p   x m l n s : x s d = " h t t p : / / w w w . w 3 . o r g / 2 0 0 1 / X M L S c h e m a "   x m l n s : x s i = " h t t p : / / w w w . w 3 . o r g / 2 0 0 1 / X M L S c h e m a - i n s t a n c e " >  
     < P a r t s >  
         < P a r t I t e m >  
             < P r o p e r t y N a m e > A d d e d R a n g e L i s t < / P r o p e r t y N a m e >  
             < V a l u e > { 9 2 2 A 2 7 7 0 - 4 C A 0 - 4 3 A 5 - 9 5 9 A - D 5 4 E 1 7 9 3 D 6 9 B } < / V a l u e >  
         < / P a r t I t e m >  
         < P a r t I t e m >  
             < P r o p e r t y N a m e > L e a d S h e e t N o t S y n c h e d < / P r o p e r t y N a m e >  
             < V a l u e > { 1 9 D F A 3 9 C - 7 E 9 4 - 4 4 3 B - A 6 4 0 - B A 4 9 3 7 B 9 C F 4 A } < / V a l u e >  
         < / P a r t I t e m >  
         < P a r t I t e m >  
             < P r o p e r t y N a m e > L e a d S h e e t P a r a m K e y < / P r o p e r t y N a m e >  
             < V a l u e > { 5 B 1 E 5 2 E E - 7 8 5 8 - 4 F 3 2 - A 4 7 C - 5 3 5 0 D 8 1 A 9 4 7 F } < / V a l u e >  
         < / P a r t I t e m >  
         < P a r t I t e m >  
             < P r o p e r t y N a m e > L e a d S h e e t D a t a K e y < / P r o p e r t y N a m e >  
             < V a l u e > { E 0 F 4 0 A 2 9 - 5 E 4 1 - 4 8 8 8 - 8 7 7 A - C E F 3 A E D 7 4 3 E 6 } < / V a l u e >  
         < / P a r t I t e m >  
     < / P a r t s >  
 < / P a r t M a p > 
</file>

<file path=customXml/item2.xml><?xml version="1.0" encoding="utf-8"?>
<boolean xmlns="http://schemas.dtt.com/da/IsLeadSheet">true</boolean>
</file>

<file path=customXml/item3.xml>��< ? x m l   v e r s i o n = " 1 . 0 "   e n c o d i n g = " u t f - 1 6 " ? > < A r r a y O f S t r i n g   x m l n s : x s d = " h t t p : / / w w w . w 3 . o r g / 2 0 0 1 / X M L S c h e m a "   x m l n s : x s i = " h t t p : / / w w w . w 3 . o r g / 2 0 0 1 / X M L S c h e m a - i n s t a n c e " / > 
</file>

<file path=customXml/item4.xml>��< ? x m l   v e r s i o n = " 1 . 0 "   e n c o d i n g = " u t f - 1 6 " ? > < L e a d S h e e t D a t a S t o r a g e   x m l n s : x s d = " h t t p : / / w w w . w 3 . o r g / 2 0 0 1 / X M L S c h e m a "   x m l n s : x s i = " h t t p : / / w w w . w 3 . o r g / 2 0 0 1 / X M L S c h e m a - i n s t a n c e " >  
     < D A M a p p i n g L i s t / >  
     < A c c o u n t G r o u p s >  
         < A c c o u n t G r o u p I n f o >  
             < N a m e > B a n k   B a l a n c e s < / N a m e >  
             < T a r g e t A c c o u n t I D > 2 6 4 2 0 1 9 4 7 9 8 0 0 0 0 0 4 1 5 < / T a r g e t A c c o u n t I D >  
             < T a r g e t A c c o u n t N u m b e r > 5 1 1 0 . 1 < / T a r g e t A c c o u n t N u m b e r >  
         < / A c c o u n t G r o u p I n f o >  
         < A c c o u n t G r o u p I n f o >  
             < N a m e > R e c e i v a b l e   a g a i n s t   s a l e   o f   i n v e s t m e n t < / N a m e >  
             < T a r g e t A c c o u n t I D > 2 6 4 2 0 1 9 4 7 9 8 0 0 0 0 0 3 7 1 < / T a r g e t A c c o u n t I D >  
             < T a r g e t A c c o u n t N u m b e r > 5 1 2 0 . 1 < / T a r g e t A c c o u n t N u m b e r >  
         < / A c c o u n t G r o u p I n f o >  
         < A c c o u n t G r o u p I n f o >  
             < N a m e > R e c e i v a b l e   a g a i n s t   M a r g i n   T r a d i n g   S y s t e m   T r a n s a c t i o n s < / N a m e >  
             < T a r g e t A c c o u n t I D > 2 6 4 2 0 1 9 4 7 9 8 0 0 0 0 0 4 2 8 < / T a r g e t A c c o u n t I D >  
             < T a r g e t A c c o u n t N u m b e r > 5 1 2 0 . 1 A < / T a r g e t A c c o u n t N u m b e r >  
         < / A c c o u n t G r o u p I n f o >  
         < A c c o u n t G r o u p I n f o >  
             < N a m e > T e r m   F i n a n c e   C e r t i f i c a t e s   -   H F T < / N a m e >  
             < T a r g e t A c c o u n t I D > 2 6 4 2 0 1 9 4 7 9 8 0 0 0 0 0 4 1 6 < / T a r g e t A c c o u n t I D >  
             < T a r g e t A c c o u n t N u m b e r > 5 1 3 0 . 1 < / T a r g e t A c c o u n t N u m b e r >  
         < / A c c o u n t G r o u p I n f o >  
         < A c c o u n t G r o u p I n f o >  
             < N a m e > T e r m   F i n a n c e   C e r t i f i c a t e s   -   A F S < / N a m e >  
             < T a r g e t A c c o u n t I D > 2 6 4 2 0 1 9 4 7 9 8 0 0 0 0 0 4 3 8 < / T a r g e t A c c o u n t I D >  
             < T a r g e t A c c o u n t N u m b e r > 5 1 3 0 . 1 A < / T a r g e t A c c o u n t N u m b e r >  
         < / A c c o u n t G r o u p I n f o >  
         < A c c o u n t G r o u p I n f o >  
             < N a m e > C e r t i f i c a t e   o f   M u s h a r i k a < / N a m e >  
             < T a r g e t A c c o u n t I D > 2 6 4 2 0 1 9 4 7 9 8 0 0 0 0 0 5 9 2 < / T a r g e t A c c o u n t I D >  
             < T a r g e t A c c o u n t N u m b e r > 5 1 3 0 . 2 < / T a r g e t A c c o u n t N u m b e r >  
         < / A c c o u n t G r o u p I n f o >  
         < A c c o u n t G r o u p I n f o >  
             < N a m e > G o v e r n m e n t   s e c u r i t i e s   -   H F T < / N a m e >  
             < T a r g e t A c c o u n t I D > 2 6 4 2 0 1 9 4 7 9 8 0 0 0 0 0 4 1 8 < / T a r g e t A c c o u n t I D >  
             < T a r g e t A c c o u n t N u m b e r > 5 1 3 0 . 3 < / T a r g e t A c c o u n t N u m b e r >  
         < / A c c o u n t G r o u p I n f o >  
         < A c c o u n t G r o u p I n f o >  
             < N a m e > G o v e r n m e n t   s e c u r i t i e s   -   A F S < / N a m e >  
             < T a r g e t A c c o u n t I D > 2 6 4 2 0 1 9 4 7 9 8 0 0 0 0 0 4 3 7 < / T a r g e t A c c o u n t I D >  
             < T a r g e t A c c o u n t N u m b e r > 5 1 3 0 . 3 A < / T a r g e t A c c o u n t N u m b e r >  
         < / A c c o u n t G r o u p I n f o >  
         < A c c o u n t G r o u p I n f o >  
             < N a m e > I n v e s t m e n t   i n   E q u i t y   S e c u r i t i e s   -   H F T < / N a m e >  
             < T a r g e t A c c o u n t I D > 2 6 4 2 0 1 9 4 7 9 8 0 0 0 0 0 3 0 6 < / T a r g e t A c c o u n t I D >  
             < T a r g e t A c c o u n t N u m b e r > 5 1 3 0 . 4 < / T a r g e t A c c o u n t N u m b e r >  
         < / A c c o u n t G r o u p I n f o >  
         < A c c o u n t G r o u p I n f o >  
             < N a m e > C o m m e r c i a l   P a p e r s   -   H F T < / N a m e >  
             < T a r g e t A c c o u n t I D > 2 6 4 2 0 1 9 4 7 9 8 0 0 0 0 0 4 3 5 < / T a r g e t A c c o u n t I D >  
             < T a r g e t A c c o u n t N u m b e r > 5 1 3 0 . 5 < / T a r g e t A c c o u n t N u m b e r >  
         < / A c c o u n t G r o u p I n f o >  
         < A c c o u n t G r o u p I n f o >  
             < N a m e > I n v e s t m e n t   i n   T D R   -   A F S < / N a m e >  
             < T a r g e t A c c o u n t I D > 2 6 4 2 0 1 9 4 7 9 8 0 0 0 0 0 3 1 3 < / T a r g e t A c c o u n t I D >  
             < T a r g e t A c c o u n t N u m b e r > 5 1 4 0 . 1 < / T a r g e t A c c o u n t N u m b e r >  
         < / A c c o u n t G r o u p I n f o >  
         < A c c o u n t G r o u p I n f o >  
             < N a m e > I n v e s t m e n t   i n   e q u i t y   s e c u r i t i e s   -   A F S < / N a m e >  
             < T a r g e t A c c o u n t I D > 2 6 4 2 0 1 9 4 7 9 8 0 0 0 0 0 3 1 4 < / T a r g e t A c c o u n t I D >  
             < T a r g e t A c c o u n t N u m b e r > 5 1 5 0 . 1 < / T a r g e t A c c o u n t N u m b e r >  
         < / A c c o u n t G r o u p I n f o >  
         < A c c o u n t G r o u p I n f o >  
             < N a m e > D i v i d e n d   r e c e i v a b l e   o n   e q u i t y   s e c u r i t i e s < / N a m e >  
             < T a r g e t A c c o u n t I D > 2 6 4 2 0 1 9 4 7 9 8 0 0 0 0 0 4 1 0 < / T a r g e t A c c o u n t I D >  
             < T a r g e t A c c o u n t N u m b e r > 5 1 6 0 . 1 < / T a r g e t A c c o u n t N u m b e r >  
         < / A c c o u n t G r o u p I n f o >  
         < A c c o u n t G r o u p I n f o >  
             < N a m e > P r o f i t   r e c e i v a b l e   o n   b a n k   d e p o s i t s < / N a m e >  
             < T a r g e t A c c o u n t I D > 2 6 4 2 0 1 9 4 7 9 8 0 0 0 0 0 4 4 7 < / T a r g e t A c c o u n t I D >  
             < T a r g e t A c c o u n t N u m b e r > 5 1 6 0 . 2 < / T a r g e t A c c o u n t N u m b e r >  
         < / A c c o u n t G r o u p I n f o >  
         < A c c o u n t G r o u p I n f o >  
             < N a m e > P r o f i t   r e c e i v a b l e   o n   d e b t   s e c u r i t i e s < / N a m e >  
             < T a r g e t A c c o u n t I D > 2 6 4 2 0 1 9 4 7 9 8 0 0 0 0 0 4 4 6 < / T a r g e t A c c o u n t I D >  
             < T a r g e t A c c o u n t N u m b e r > 5 1 6 0 . 3 < / T a r g e t A c c o u n t N u m b e r >  
         < / A c c o u n t G r o u p I n f o >  
         < A c c o u n t G r o u p I n f o >  
             < N a m e > P r o f i t   r e c e i v a b l e   o n   g o v e r n m e n t   s e c u r i t i e s < / N a m e >  
             < T a r g e t A c c o u n t I D > 2 6 4 2 0 1 9 4 7 9 8 0 0 0 0 0 4 4 3 < / T a r g e t A c c o u n t I D >  
             < T a r g e t A c c o u n t N u m b e r > 5 1 6 0 . 4 < / T a r g e t A c c o u n t N u m b e r >  
         < / A c c o u n t G r o u p I n f o >  
         < A c c o u n t G r o u p I n f o >  
             < N a m e > P r o f i t   r e c e i v a b l e   o n   t e r m   d e p o s i t   r e c e i p t s < / N a m e >  
             < T a r g e t A c c o u n t I D > 2 6 4 2 0 1 9 4 7 9 8 0 0 0 0 0 4 4 2 < / T a r g e t A c c o u n t I D >  
             < T a r g e t A c c o u n t N u m b e r > 5 1 6 0 . 5 < / T a r g e t A c c o u n t N u m b e r >  
         < / A c c o u n t G r o u p I n f o >  
         < A c c o u n t G r o u p I n f o >  
             < N a m e > P r o f i t   r e c e i v a b l e   a g a i n s t   M T S < / N a m e >  
             < T a r g e t A c c o u n t I D > 2 6 4 2 0 1 9 4 7 9 8 0 0 0 0 0 4 2 4 < / T a r g e t A c c o u n t I D >  
             < T a r g e t A c c o u n t N u m b e r > 5 1 6 0 . 6 < / T a r g e t A c c o u n t N u m b e r >  
         < / A c c o u n t G r o u p I n f o >  
         < A c c o u n t G r o u p I n f o >  
             < N a m e > D e p o s i t s ,   p r e p a y m e n t s   a n d   o t h e r   r e c e i v a b l e s < / N a m e >  
             < T a r g e t A c c o u n t I D > 2 6 4 2 0 1 9 4 7 9 8 0 0 0 0 0 3 8 1 < / T a r g e t A c c o u n t I D >  
             < T a r g e t A c c o u n t N u m b e r > 5 1 7 0 . 1 < / T a r g e t A c c o u n t N u m b e r >  
         < / A c c o u n t G r o u p I n f o >  
         < A c c o u n t G r o u p I n f o >  
             < N a m e > A d v a n c e   T a x < / N a m e >  
             < T a r g e t A c c o u n t I D > 2 6 4 2 0 1 9 4 7 9 8 0 0 0 0 0 3 8 4 < / T a r g e t A c c o u n t I D >  
             < T a r g e t A c c o u n t N u m b e r > 5 1 7 0 . 2 < / T a r g e t A c c o u n t N u m b e r >  
         < / A c c o u n t G r o u p I n f o >  
         < A c c o u n t G r o u p I n f o >  
             < N a m e > D e p o s i t s   w i t h   N C C P L < / N a m e >  
             < T a r g e t A c c o u n t I D > 2 6 4 2 0 1 9 4 7 9 8 0 0 0 0 0 3 7 5 < / T a r g e t A c c o u n t I D >  
             < T a r g e t A c c o u n t N u m b e r > 5 1 7 0 . 3 < / T a r g e t A c c o u n t N u m b e r >  
         < / A c c o u n t G r o u p I n f o >  
         < A c c o u n t G r o u p I n f o >  
             < N a m e > D e p o s i t s   w i t h   C D C < / N a m e >  
             < T a r g e t A c c o u n t I D > 2 6 4 2 0 1 9 4 7 9 8 0 0 0 0 0 3 8 6 < / T a r g e t A c c o u n t I D >  
             < T a r g e t A c c o u n t N u m b e r > 5 1 7 0 . 4 < / T a r g e t A c c o u n t N u m b e r >  
         < / A c c o u n t G r o u p I n f o >  
         < A c c o u n t G r o u p I n f o >  
             < N a m e > M a r g i n   a g a i n s t   T F C < / N a m e >  
             < T a r g e t A c c o u n t I D > 2 6 4 2 0 1 9 4 7 9 8 0 0 0 0 0 3 1 8 < / T a r g e t A c c o u n t I D >  
             < T a r g e t A c c o u n t N u m b e r > 5 1 7 0 . 5 < / T a r g e t A c c o u n t N u m b e r >  
         < / A c c o u n t G r o u p I n f o >  
         < A c c o u n t G r o u p I n f o >  
             < N a m e > P R E P A Y M E N T   O F   N C C P L   A G A I N S T   M A R G I N   T R A D I N G   S Y S T E M < / N a m e >  
             < T a r g e t A c c o u n t I D > 2 6 4 2 0 1 9 4 7 9 8 0 0 0 0 0 4 3 1 < / T a r g e t A c c o u n t I D >  
             < T a r g e t A c c o u n t N u m b e r > 5 1 7 0 . 5 A < / T a r g e t A c c o u n t N u m b e r >  
         < / A c c o u n t G r o u p I n f o >  
         < A c c o u n t G r o u p I n f o >  
             < N a m e > P r e p a y m e n t s < / N a m e >  
             < T a r g e t A c c o u n t I D > 2 6 4 2 0 1 9 4 7 9 8 0 0 0 0 0 2 9 0 < / T a r g e t A c c o u n t I D >  
             < T a r g e t A c c o u n t N u m b e r > 5 1 7 0 . 6 < / T a r g e t A c c o u n t N u m b e r >  
         < / A c c o u n t G r o u p I n f o >  
         < A c c o u n t G r o u p I n f o >  
             < N a m e > R e c e i v a b l e   f r o m   N a t i o n a l   C l e a r i n g   C o m p n a y   o f   P a k i s t a n < / N a m e >  
             < T a r g e t A c c o u n t I D > 2 6 4 2 0 1 9 4 7 9 8 0 0 0 0 0 4 5 0 < / T a r g e t A c c o u n t I D >  
             < T a r g e t A c c o u n t N u m b e r > 5 1 7 0 . 7 < / T a r g e t A c c o u n t N u m b e r >  
         < / A c c o u n t G r o u p I n f o >  
         < A c c o u n t G r o u p I n f o >  
             < N a m e > P r e l i m i n a r y   e x p e n s e s   a n d   f l o a t a t i o n   c o s t s ,   a n d   O t h e r   A d v a n c e s < / N a m e >  
             < T a r g e t A c c o u n t I D > 2 6 4 2 0 1 9 4 7 9 8 0 0 0 0 0 3 2 1 < / T a r g e t A c c o u n t I D >  
             < T a r g e t A c c o u n t N u m b e r > 5 1 8 0 - 1 < / T a r g e t A c c o u n t N u m b e r >  
         < / A c c o u n t G r o u p I n f o >  
         < A c c o u n t G r o u p I n f o >  
             < N a m e > P a y a b l e   t o   M a n a g e m e n t   C o m p a n y < / N a m e >  
             < T a r g e t A c c o u n t I D > 2 6 4 2 0 1 9 4 7 9 8 0 0 0 0 0 2 7 4 < / T a r g e t A c c o u n t I D >  
             < T a r g e t A c c o u n t N u m b e r > 6 1 1 0 . 1 < / T a r g e t A c c o u n t N u m b e r >  
         < / A c c o u n t G r o u p I n f o >  
         < A c c o u n t G r o u p I n f o >  
             < N a m e > P a y a b l e   t o   C e n t r a l   D e p o s i t o r y   C o m p a n y   o f   P a k i s t a n   L i m i t e d   -   T r u s t e e < / N a m e >  
             < T a r g e t A c c o u n t I D > 2 6 4 2 0 1 9 4 7 9 8 0 0 0 0 0 2 8 6 < / T a r g e t A c c o u n t I D >  
             < T a r g e t A c c o u n t N u m b e r > 6 1 2 0 . 1 < / T a r g e t A c c o u n t N u m b e r >  
         < / A c c o u n t G r o u p I n f o >  
         < A c c o u n t G r o u p I n f o >  
             < N a m e > P a y a b l e   t o   S e c u r i t i e s   a n d   E x c h a n g e   C o m m i s s i o n < / N a m e >  
             < T a r g e t A c c o u n t I D > 2 6 4 2 0 1 9 4 7 9 8 0 0 0 0 0 2 7 9 < / T a r g e t A c c o u n t I D >  
             < T a r g e t A c c o u n t N u m b e r > 6 1 3 0 . 1 < / T a r g e t A c c o u n t N u m b e r >  
         < / A c c o u n t G r o u p I n f o >  
         < A c c o u n t G r o u p I n f o >  
             < N a m e > P a y a b l e   a g a i n s t   r e d e m p t i o n   o f   u n i t s < / N a m e >  
             < T a r g e t A c c o u n t I D > 2 6 4 2 0 1 9 4 7 9 8 0 0 0 0 0 2 8 0 < / T a r g e t A c c o u n t I D >  
             < T a r g e t A c c o u n t N u m b e r > 6 1 4 0 . 1 < / T a r g e t A c c o u n t N u m b e r >  
         < / A c c o u n t G r o u p I n f o >  
         < A c c o u n t G r o u p I n f o >  
             < N a m e > P A Y A B L E   A G A I N S T   P U R C H A S E   O F   E Q U I T Y   S E C U R I T I E S < / N a m e >  
             < T a r g e t A c c o u n t I D > 2 6 4 2 0 1 9 4 7 9 8 0 0 0 0 0 4 2 3 < / T a r g e t A c c o u n t I D >  
             < T a r g e t A c c o u n t N u m b e r > 6 1 4 0 . 1 A < / T a r g e t A c c o u n t N u m b e r >  
         < / A c c o u n t G r o u p I n f o >  
         < A c c o u n t G r o u p I n f o >  
             < N a m e > U n c l a i m e d   d i v i d e n d < / N a m e >  
             < T a r g e t A c c o u n t I D > 2 6 4 2 0 1 9 4 7 9 8 0 0 0 0 0 3 2 5 < / T a r g e t A c c o u n t I D >  
             < T a r g e t A c c o u n t N u m b e r > 6 1 5 0 . 1 < / T a r g e t A c c o u n t N u m b e r >  
         < / A c c o u n t G r o u p I n f o >  
         < A c c o u n t G r o u p I n f o >  
             < N a m e > A c c r u e d   e x p e n s e s   a n d   o t h e r   l i a b i l i t i e s < / N a m e >  
             < T a r g e t A c c o u n t I D > 2 6 4 2 0 1 9 4 7 9 8 0 0 0 0 0 2 5 6 < / T a r g e t A c c o u n t I D >  
             < T a r g e t A c c o u n t N u m b e r > 6 1 6 0 . 1 < / T a r g e t A c c o u n t N u m b e r >  
         < / A c c o u n t G r o u p I n f o >  
         < A c c o u n t G r o u p I n f o >  
             < N a m e > P a y a b l e   A g a i n s t   E x p o s u r e   I n   M a g i n   T r a d i n g   S y s t e m < / N a m e >  
             < T a r g e t A c c o u n t I D > 2 6 4 2 0 1 9 4 7 9 8 0 0 0 0 0 4 2 7 < / T a r g e t A c c o u n t I D >  
             < T a r g e t A c c o u n t N u m b e r > 6 1 6 0 . 1 A < / T a r g e t A c c o u n t N u m b e r >  
         < / A c c o u n t G r o u p I n f o >  
         < A c c o u n t G r o u p I n f o >  
             < N a m e > P r o v i s i o n   A g a i n s t   I m p a i r m e n t   L o s s < / N a m e >  
             < T a r g e t A c c o u n t I D > 2 6 4 2 0 1 9 4 7 9 8 0 0 0 0 0 3 2 6 < / T a r g e t A c c o u n t I D >  
             < T a r g e t A c c o u n t N u m b e r > 6 1 7 0 . 1 < / T a r g e t A c c o u n t N u m b e r >  
         < / A c c o u n t G r o u p I n f o >  
         < A c c o u n t G r o u p I n f o >  
             < N a m e > T a x   P a y a b l e < / N a m e >  
             < T a r g e t A c c o u n t I D > 2 6 4 2 0 1 9 4 7 9 8 0 0 0 0 0 3 3 1 < / T a r g e t A c c o u n t I D >  
             < T a r g e t A c c o u n t N u m b e r > 6 1 8 0 < / T a r g e t A c c o u n t N u m b e r >  
         < / A c c o u n t G r o u p I n f o >  
         < A c c o u n t G r o u p I n f o >  
             < N a m e > I s s u e d ,   s u b s c r i b e d   a n d   p a i d - u p   c a p i t a l < / N a m e >  
             < T a r g e t A c c o u n t I D > 2 6 4 2 0 1 9 4 7 9 8 0 0 0 0 0 3 3 2 < / T a r g e t A c c o u n t I D >  
             < T a r g e t A c c o u n t N u m b e r > 7 1 1 0 . 1 < / T a r g e t A c c o u n t N u m b e r >  
         < / A c c o u n t G r o u p I n f o >  
         < A c c o u n t G r o u p I n f o >  
             < N a m e > U n r e a l i z e d   a p p r e c i a t i o n   i n   v a l u e   o f   i n v e s t m e n t s - A F S < / N a m e >  
             < T a r g e t A c c o u n t I D > 2 6 4 2 0 1 9 4 7 9 8 0 0 0 0 0 4 0 6 < / T a r g e t A c c o u n t I D >  
             < T a r g e t A c c o u n t N u m b e r > 7 2 1 0 . 1 < / T a r g e t A c c o u n t N u m b e r >  
         < / A c c o u n t G r o u p I n f o >  
         < A c c o u n t G r o u p I n f o >  
             < N a m e > A c c u m u l a t e d   l o s s < / N a m e >  
             < T a r g e t A c c o u n t I D > 2 6 4 2 0 1 9 4 7 9 8 0 0 0 0 0 3 3 7 < / T a r g e t A c c o u n t I D >  
             < T a r g e t A c c o u n t N u m b e r > 7 2 2 0 . 2 < / T a r g e t A c c o u n t N u m b e r >  
         < / A c c o u n t G r o u p I n f o >  
         < A c c o u n t G r o u p I n f o >  
             < N a m e > U n i t   h o l d e r s   F u n d < / N a m e >  
             < T a r g e t A c c o u n t I D > 2 6 4 2 0 1 9 4 7 9 8 0 0 0 0 0 2 3 6 < / T a r g e t A c c o u n t I D >  
             < T a r g e t A c c o u n t N u m b e r > 7 2 3 0 < / T a r g e t A c c o u n t N u m b e r >  
         < / A c c o u n t G r o u p I n f o >  
         < A c c o u n t G r o u p I n f o >  
             < N a m e > R e a l i z e d   E l e m e n t   o f   i n c o m e < / N a m e >  
             < T a r g e t A c c o u n t I D > 2 6 4 2 0 1 9 4 7 9 8 0 0 0 0 0 4 1 2 < / T a r g e t A c c o u n t I D >  
             < T a r g e t A c c o u n t N u m b e r > 7 2 3 0 . 1 < / T a r g e t A c c o u n t N u m b e r >  
         < / A c c o u n t G r o u p I n f o >  
         < A c c o u n t G r o u p I n f o >  
             < N a m e > U n r e a l i z e d   E l e m e n t   o f   i n c o m e < / N a m e >  
             < T a r g e t A c c o u n t I D > 2 6 4 2 0 1 9 4 7 9 8 0 0 0 0 0 3 3 9 < / T a r g e t A c c o u n t I D >  
             < T a r g e t A c c o u n t N u m b e r > 7 2 3 0 . 2 < / T a r g e t A c c o u n t N u m b e r >  
         < / A c c o u n t G r o u p I n f o >  
         < A c c o u n t G r o u p I n f o >  
             < N a m e > C a p i t a l   g a i n   /   ( l o s s )   o n   s a l e   o f   i n v e s t m e n t s   -   n e t < / N a m e >  
             < T a r g e t A c c o u n t I D > 2 6 4 2 0 1 9 4 7 9 8 0 0 0 0 0 2 6 6 < / T a r g e t A c c o u n t I D >  
             < T a r g e t A c c o u n t N u m b e r > 8 1 1 0 . 1 < / T a r g e t A c c o u n t N u m b e r >  
         < / A c c o u n t G r o u p I n f o >  
         < A c c o u n t G r o u p I n f o >  
             < N a m e > I n c o m e   f r o m   C F S   T r a n s a c t i o n s < / N a m e >  
             < T a r g e t A c c o u n t I D > 2 6 4 2 0 1 9 4 7 9 8 0 0 0 0 0 3 4 3 < / T a r g e t A c c o u n t I D >  
             < T a r g e t A c c o u n t N u m b e r > 8 1 1 0 . 1 A < / T a r g e t A c c o u n t N u m b e r >  
         < / A c c o u n t G r o u p I n f o >  
         < A c c o u n t G r o u p I n f o >  
             < N a m e > I n c o m e   f r o m   i n v e s t m e n t   i n   D e r i v a t i v e < / N a m e >  
             < T a r g e t A c c o u n t I D > 2 6 4 2 0 1 9 4 7 9 8 0 0 0 0 0 4 3 2 < / T a r g e t A c c o u n t I D >  
             < T a r g e t A c c o u n t N u m b e r > 8 1 1 0 . 1 B < / T a r g e t A c c o u n t N u m b e r >  
         < / A c c o u n t G r o u p I n f o >  
         < A c c o u n t G r o u p I n f o >  
             < N a m e > I n c o m e   f r o m   T e r m   F i n a n c e   C e r t i f i c a t e s < / N a m e >  
             < T a r g e t A c c o u n t I D > 2 6 4 2 0 1 9 4 7 9 8 0 0 0 0 0 2 6 0 < / T a r g e t A c c o u n t I D >  
             < T a r g e t A c c o u n t N u m b e r > 8 1 1 0 . 2 A < / T a r g e t A c c o u n t N u m b e r >  
         < / A c c o u n t G r o u p I n f o >  
         < A c c o u n t G r o u p I n f o >  
             < N a m e > I n c o m e   f r o m   G o v e r n m e n t   S e c u r i t i e s < / N a m e >  
             < T a r g e t A c c o u n t I D > 2 6 4 2 0 1 9 4 7 9 8 0 0 0 0 0 2 4 5 < / T a r g e t A c c o u n t I D >  
             < T a r g e t A c c o u n t N u m b e r > 8 1 1 0 . 3 A < / T a r g e t A c c o u n t N u m b e r >  
         < / A c c o u n t G r o u p I n f o >  
         < A c c o u n t G r o u p I n f o >  
             < N a m e > I n c o m e   f r o m   p l a c e m e n t s   w i t h   f i n a n c i a l   i n s t i t u t i o n s < / N a m e >  
             < T a r g e t A c c o u n t I D > 2 6 4 2 0 1 9 4 7 9 8 0 0 0 0 0 3 4 4 < / T a r g e t A c c o u n t I D >  
             < T a r g e t A c c o u n t N u m b e r > 8 1 1 0 . 4 A < / T a r g e t A c c o u n t N u m b e r >  
         < / A c c o u n t G r o u p I n f o >  
         < A c c o u n t G r o u p I n f o >  
             < N a m e > I n c o m e   o n   C P < / N a m e >  
             < T a r g e t A c c o u n t I D > 2 6 4 2 0 1 9 4 7 9 8 0 0 0 0 0 5 9 0 < / T a r g e t A c c o u n t I D >  
             < T a r g e t A c c o u n t N u m b e r > 8 1 1 0 . 4 B < / T a r g e t A c c o u n t N u m b e r >  
         < / A c c o u n t G r o u p I n f o >  
         < A c c o u n t G r o u p I n f o >  
             < N a m e > I n c o m e   f r o m   T D R < / N a m e >  
             < T a r g e t A c c o u n t I D > 2 6 4 2 0 1 9 4 7 9 8 0 0 0 0 0 2 6 9 < / T a r g e t A c c o u n t I D >  
             < T a r g e t A c c o u n t N u m b e r > 8 1 1 0 . 5 A < / T a r g e t A c c o u n t N u m b e r >  
         < / A c c o u n t G r o u p I n f o >  
         < A c c o u n t G r o u p I n f o >  
             < N a m e > I n c o m e   o n   N C C P L   m a r g i n < / N a m e >  
             < T a r g e t A c c o u n t I D > 2 6 4 2 0 1 9 4 7 9 8 0 0 0 0 0 2 9 3 < / T a r g e t A c c o u n t I D >  
             < T a r g e t A c c o u n t N u m b e r > 8 1 1 0 . 6 A < / T a r g e t A c c o u n t N u m b e r >  
         < / A c c o u n t G r o u p I n f o >  
         < A c c o u n t G r o u p I n f o >  
             < N a m e > M a r k u p   I n c o m e   o n   M T S < / N a m e >  
             < T a r g e t A c c o u n t I D > 2 6 4 2 0 1 9 4 7 9 8 0 0 0 0 0 2 9 7 < / T a r g e t A c c o u n t I D >  
             < T a r g e t A c c o u n t N u m b e r > 8 1 1 0 . 6 B < / T a r g e t A c c o u n t N u m b e r >  
         < / A c c o u n t G r o u p I n f o >  
         < A c c o u n t G r o u p I n f o >  
             < N a m e > P r o f i t   o n   b a n k   d e p o s i t s < / N a m e >  
             < T a r g e t A c c o u n t I D > 2 6 4 2 0 1 9 4 7 9 8 0 0 0 0 0 2 6 3 < / T a r g e t A c c o u n t I D >  
             < T a r g e t A c c o u n t N u m b e r > 8 1 1 0 . 7 A < / T a r g e t A c c o u n t N u m b e r >  
         < / A c c o u n t G r o u p I n f o >  
         < A c c o u n t G r o u p I n f o >  
             < N a m e > U n r e a l i z e d   a p p r e c i a t i o n   /   ( d i m i n u i t i o n )   i n   v a l u e   o f   i n v e s t m e n t s   a t   f a i r   v a l u e   t h r o u g h   p r o f i t   o r   l o s s < / N a m e >  
             < T a r g e t A c c o u n t I D > 2 6 4 2 0 1 9 4 7 9 8 0 0 0 0 0 2 8 5 < / T a r g e t A c c o u n t I D >  
             < T a r g e t A c c o u n t N u m b e r > 8 1 1 0 . 8 A < / T a r g e t A c c o u n t N u m b e r >  
         < / A c c o u n t G r o u p I n f o >  
         < A c c o u n t G r o u p I n f o >  
             < N a m e > D i v i d e n d   I n c o m e < / N a m e >  
             < T a r g e t A c c o u n t I D > 2 6 4 2 0 1 9 4 7 9 8 0 0 0 0 0 4 2 0 < / T a r g e t A c c o u n t I D >  
             < T a r g e t A c c o u n t N u m b e r > 8 1 1 0 . 9 A < / T a r g e t A c c o u n t N u m b e r >  
         < / A c c o u n t G r o u p I n f o >  
         < A c c o u n t G r o u p I n f o >  
             < N a m e > I m p a i r m e n t   l o s s < / N a m e >  
             < T a r g e t A c c o u n t I D > 2 6 4 2 0 1 9 4 7 9 8 0 0 0 0 0 2 7 2 < / T a r g e t A c c o u n t I D >  
             < T a r g e t A c c o u n t N u m b e r > 8 1 1 1 < / T a r g e t A c c o u n t N u m b e r >  
         < / A c c o u n t G r o u p I n f o >  
         < A c c o u n t G r o u p I n f o >  
             < N a m e > R e m u n e r a t i o n   o f   m a n a g e m e n t   c o m p a n y < / N a m e >  
             < T a r g e t A c c o u n t I D > 2 6 4 2 0 1 9 4 7 9 8 0 0 0 0 0 4 0 8 < / T a r g e t A c c o u n t I D >  
             < T a r g e t A c c o u n t N u m b e r > 8 1 2 0 . 1 < / T a r g e t A c c o u n t N u m b e r >  
         < / A c c o u n t G r o u p I n f o >  
         < A c c o u n t G r o u p I n f o >  
             < N a m e > R e m u n e r a t i o n   o f   C D C   -   T r u s t e e < / N a m e >  
             < T a r g e t A c c o u n t I D > 2 6 4 2 0 1 9 4 7 9 8 0 0 0 0 0 4 0 5 < / T a r g e t A c c o u n t I D >  
             < T a r g e t A c c o u n t N u m b e r > 8 1 2 0 . 1 A < / T a r g e t A c c o u n t N u m b e r >  
         < / A c c o u n t G r o u p I n f o >  
         < A c c o u n t G r o u p I n f o >  
             < N a m e > A n n u a l   f e e   -   S E C P < / N a m e >  
             < T a r g e t A c c o u n t I D > 2 6 4 2 0 1 9 4 7 9 8 0 0 0 0 0 4 0 1 < / T a r g e t A c c o u n t I D >  
             < T a r g e t A c c o u n t N u m b e r > 8 1 2 0 . 2 A < / T a r g e t A c c o u n t N u m b e r >  
         < / A c c o u n t G r o u p I n f o >  
         < A c c o u n t G r o u p I n f o >  
             < N a m e > S e c u r i t i e s   t r a n s a c t i n   c o s t < / N a m e >  
             < T a r g e t A c c o u n t I D > 2 6 4 2 0 1 9 4 7 9 8 0 0 0 0 0 3 9 8 < / T a r g e t A c c o u n t I D >  
             < T a r g e t A c c o u n t N u m b e r > 8 1 3 0 . 1 < / T a r g e t A c c o u n t N u m b e r >  
         < / A c c o u n t G r o u p I n f o >  
         < A c c o u n t G r o u p I n f o >  
             < N a m e > C o n v e r s i o n   c o s t < / N a m e >  
             < T a r g e t A c c o u n t I D > 2 6 4 2 0 1 9 4 7 9 8 0 0 0 0 0 3 4 9 < / T a r g e t A c c o u n t I D >  
             < T a r g e t A c c o u n t N u m b e r > 8 1 3 0 . 2 < / T a r g e t A c c o u n t N u m b e r >  
         < / A c c o u n t G r o u p I n f o >  
         < A c c o u n t G r o u p I n f o >  
             < N a m e > F i n a n c i a l   C h a r g e s < / N a m e >  
             < T a r g e t A c c o u n t I D > 2 6 4 2 0 1 9 4 7 9 8 0 0 0 0 0 3 5 0 < / T a r g e t A c c o u n t I D >  
             < T a r g e t A c c o u n t N u m b e r > 8 1 3 0 . 3 < / T a r g e t A c c o u n t N u m b e r >  
         < / A c c o u n t G r o u p I n f o >  
         < A c c o u n t G r o u p I n f o >  
             < N a m e > B a n k   C h a r g e s < / N a m e >  
             < T a r g e t A c c o u n t I D > 2 6 4 2 0 1 9 4 7 9 8 0 0 0 0 0 3 9 3 < / T a r g e t A c c o u n t I D >  
             < T a r g e t A c c o u n t N u m b e r > 8 1 3 0 . 4 < / T a r g e t A c c o u n t N u m b e r >  
         < / A c c o u n t G r o u p I n f o >  
         < A c c o u n t G r o u p I n f o >  
             < N a m e > R r e v e r s a l   o f   P r o v i s i o n   A g a i n s t   D e b t   s e c u r i t i e s < / N a m e >  
             < T a r g e t A c c o u n t I D > 2 6 4 2 0 1 9 4 7 9 8 0 0 0 0 0 3 5 4 < / T a r g e t A c c o u n t I D >  
             < T a r g e t A c c o u n t N u m b e r > 8 1 3 3 < / T a r g e t A c c o u n t N u m b e r >  
         < / A c c o u n t G r o u p I n f o >  
         < A c c o u n t G r o u p I n f o >  
             < N a m e > F e e s   a n d   s u b s c r i p t i o n < / N a m e >  
             < T a r g e t A c c o u n t I D > 2 6 4 2 0 1 9 4 7 9 8 0 0 0 0 0 3 9 1 < / T a r g e t A c c o u n t I D >  
             < T a r g e t A c c o u n t N u m b e r > 8 1 4 0 . 1 < / T a r g e t A c c o u n t N u m b e r >  
         < / A c c o u n t G r o u p I n f o >  
         < A c c o u n t G r o u p I n f o >  
             < N a m e > P o f e s s i o n a l   c h a r g e s   o n   M T S < / N a m e >  
             < T a r g e t A c c o u n t I D > 2 6 4 2 0 1 9 4 7 9 8 0 0 0 0 0 3 5 6 < / T a r g e t A c c o u n t I D >  
             < T a r g e t A c c o u n t N u m b e r > 8 1 4 0 . 2 < / T a r g e t A c c o u n t N u m b e r >  
         < / A c c o u n t G r o u p I n f o >  
         < A c c o u n t G r o u p I n f o >  
             < N a m e > S e t t l e m e n t   C h a r g e s < / N a m e >  
             < T a r g e t A c c o u n t I D > 2 6 4 2 0 1 9 4 7 9 8 0 0 0 0 0 3 6 0 < / T a r g e t A c c o u n t I D >  
             < T a r g e t A c c o u n t N u m b e r > 8 1 5 0 . 1 < / T a r g e t A c c o u n t N u m b e r >  
         < / A c c o u n t G r o u p I n f o >  
         < A c c o u n t G r o u p I n f o >  
             < N a m e > P r i n t i n g   a n d   r e l a t e d   c o s t < / N a m e >  
             < T a r g e t A c c o u n t I D > 2 6 4 2 0 1 9 4 7 9 8 0 0 0 0 0 3 7 9 < / T a r g e t A c c o u n t I D >  
             < T a r g e t A c c o u n t N u m b e r > 8 1 5 0 . 1 A < / T a r g e t A c c o u n t N u m b e r >  
         < / A c c o u n t G r o u p I n f o >  
         < A c c o u n t G r o u p I n f o >  
             < N a m e > A u d i t o r ' s   r e m u n e r a t i o n < / N a m e >  
             < T a r g e t A c c o u n t I D > 2 6 4 2 0 1 9 4 7 9 8 0 0 0 0 0 3 9 7 < / T a r g e t A c c o u n t I D >  
             < T a r g e t A c c o u n t N u m b e r > 8 1 5 0 . 2 A < / T a r g e t A c c o u n t N u m b e r >  
         < / A c c o u n t G r o u p I n f o >  
         < A c c o u n t G r o u p I n f o >  
             < N a m e > A m o r t i z a t i o n   o f   p r e l i m i n a r y   e x p e n s e s   a n d   f l o t a t i o n   c o s t s < / N a m e >  
             < T a r g e t A c c o u n t I D > 2 6 4 2 0 1 9 4 7 9 8 0 0 0 0 0 3 6 3 < / T a r g e t A c c o u n t I D >  
             < T a r g e t A c c o u n t N u m b e r > 8 1 5 0 . 3 A < / T a r g e t A c c o u n t N u m b e r >  
         < / A c c o u n t G r o u p I n f o >  
         < A c c o u n t G r o u p I n f o >  
             < N a m e > P r o v i s i o n   A g a i n s t   I m p a i r m e n t   L o s s - E X P < / N a m e >  
             < T a r g e t A c c o u n t I D > 2 6 4 2 0 1 9 4 7 9 8 0 0 0 0 0 3 6 6 < / T a r g e t A c c o u n t I D >  
             < T a r g e t A c c o u n t N u m b e r > 8 1 6 0 . 1 < / T a r g e t A c c o u n t N u m b e r >  
         < / A c c o u n t G r o u p I n f o >  
         < A c c o u n t G r o u p I n f o >  
             < N a m e > W W F - E X P < / N a m e >  
             < T a r g e t A c c o u n t I D > 2 6 4 2 0 1 9 4 7 9 8 0 0 0 0 0 3 7 0 < / T a r g e t A c c o u n t I D >  
             < T a r g e t A c c o u n t N u m b e r > 8 1 6 0 . 2 < / T a r g e t A c c o u n t N u m b e r >  
         < / A c c o u n t G r o u p I n f o >  
         < A c c o u n t G r o u p I n f o >  
             < N a m e > S a l e s   T a x   o n   T r u s t e e   F e e s < / N a m e >  
             < T a r g e t A c c o u n t I D > 2 6 4 2 0 1 9 4 7 9 8 0 0 0 0 0 3 9 5 < / T a r g e t A c c o u n t I D >  
             < T a r g e t A c c o u n t N u m b e r > 8 1 7 0 . 1 < / T a r g e t A c c o u n t N u m b e r >  
         < / A c c o u n t G r o u p I n f o >  
         < A c c o u n t G r o u p I n f o >  
             < N a m e > B a c k   o f f i c e   e x p e n s e < / N a m e >  
             < T a r g e t A c c o u n t I D > 2 6 4 2 0 1 9 4 7 9 8 0 0 0 0 0 4 0 3 < / T a r g e t A c c o u n t I D >  
             < T a r g e t A c c o u n t N u m b e r > 8 1 8 0 . 1 < / T a r g e t A c c o u n t N u m b e r >  
         < / A c c o u n t G r o u p I n f o >  
         < A c c o u n t G r o u p I n f o >  
             < N a m e > R e a l i z e d   E l e m e n t   & a m p ;   C G < / N a m e >  
             < T a r g e t A c c o u n t I D > 2 6 4 2 0 1 9 4 7 9 8 0 0 0 0 0 2 5 5 < / T a r g e t A c c o u n t I D >  
             < T a r g e t A c c o u n t N u m b e r > 9 1 1 0 . 1 < / T a r g e t A c c o u n t N u m b e r >  
         < / A c c o u n t G r o u p I n f o >  
         < A c c o u n t G r o u p I n f o >  
             < N a m e > U n r e a l i z e d   E l e m e n t   & a m p ;   C a p i t a l   G a i n < / N a m e >  
             < T a r g e t A c c o u n t I D > 2 6 4 2 0 1 9 4 7 9 8 0 0 0 0 0 2 4 6 < / T a r g e t A c c o u n t I D >  
             < T a r g e t A c c o u n t N u m b e r > 9 1 1 0 . 2 < / T a r g e t A c c o u n t N u m b e r >  
         < / A c c o u n t G r o u p I n f o >  
         < A c c o u n t G r o u p I n f o >  
             < N a m e > M a r k e t i n g   a n d   s e l l i n g   e x p e n s e s < / N a m e >  
             < T a r g e t A c c o u n t I D > 2 9 6 1 8 1 5 9 6 0 0 0 0 0 0 0 0 2 3 < / T a r g e t A c c o u n t I D >  
             < T a r g e t A c c o u n t N u m b e r > 9 1 1 0 . 3 < / T a r g e t A c c o u n t N u m b e r >  
         < / A c c o u n t G r o u p I n f o >  
         < A c c o u n t G r o u p I n f o >  
             < N a m e > R e l a t e d   p a r t i e s   d i s c l o s u r e < / N a m e >  
             < T a r g e t A c c o u n t I D > 2 9 6 1 8 1 5 9 6 0 0 0 0 0 0 1 8 7 6 < / T a r g e t A c c o u n t I D >  
             < T a r g e t A c c o u n t N u m b e r > 9 1 1 0 . 4 < / T a r g e t A c c o u n t N u m b e r >  
         < / A c c o u n t G r o u p I n f o >  
         < A c c o u n t G r o u p I n f o >  
             < N a m e > H a l f   Y e a r   D i f f e r e n c e < / N a m e >  
             < T a r g e t A c c o u n t I D > 3 2 7 2 8 3 0 1 5 3 7 0 0 0 0 0 0 0 6 < / T a r g e t A c c o u n t I D >  
             < T a r g e t A c c o u n t N u m b e r > 9 1 1 0 . 5 < / T a r g e t A c c o u n t N u m b e r >  
         < / A c c o u n t G r o u p I n f o >  
     < / A c c o u n t G r o u p s >  
     < A c c o u n t s >  
         < A c c o u n t S t o r a g e >  
             < A c c o u n t B a l a n c e s >  
                 < A c c o u n t B a l a n c e >  
                     < F i e l d N a m e > P r i o r P e r i o d 1 B a l a n c e < / F i e l d N a m e >  
                     < B a l a n c e > 7 5 2 8 2 < / B a l a n c e >  
                 < / A c c o u n t B a l a n c e >  
                 < A c c o u n t B a l a n c e >  
                     < F i e l d N a m e > P r i o r P e r i o d 2 B a l a n c e < / F i e l d N a m e >  
                     < B a l a n c e > 1 6 5 9 2 9 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 2 6 4 2 0 1 9 4 7 9 8 0 0 0 0 0 5 1 0 < / I D >  
             < T a r g e t A c c o u n t I D > 2 6 4 2 0 1 9 4 7 9 8 0 0 0 0 0 4 1 5 < / T a r g e t A c c o u n t I D >  
             < C h a r t I D > 2 6 4 2 0 1 9 4 7 9 8 0 0 0 0 0 2 3 1 < / C h a r t I D >  
             < I s L i n k e d > f a l s e < / I s L i n k e d >  
             < N u m b e r > 0 1 0 1 0 0 1 0 0 0 0 1 < / N u m b e r >  
             < N a m e > B A N K   B A L A N C E S   -   A L L I E D   B A N K   L I M I T E D   -   F O R E I G N   E X C H A N G E   B R A N C H < / N a m e >  
             < A J E > 0 < / A J E >  
             < A d j u s t > 1 3 0 9 9 0 < / A d j u s t >  
             < R J E > 0 < / R J E >  
             < P r e l i m i n a r y > 1 3 0 9 9 0 < / P r e l i m i n a r y >  
             < F i n a l > 1 3 0 9 9 0 < / F i n a l >  
         < / A c c o u n t S t o r a g e >  
         < A c c o u n t S t o r a g e >  
             < A c c o u n t B a l a n c e s >  
                 < A c c o u n t B a l a n c e >  
                     < F i e l d N a m e > P r i o r P e r i o d 1 B a l a n c e < / F i e l d N a m e >  
                     < B a l a n c e > 1 2 6 8 < / B a l a n c e >  
                 < / A c c o u n t B a l a n c e >  
                 < A c c o u n t B a l a n c e >  
                     < F i e l d N a m e > P r i o r P e r i o d 2 B a l a n c e < / F i e l d N a m e >  
                     < B a l a n c e > 3 4 7 9 < / B a l a n c e >  
                 < / A c c o u n t B a l a n c e >  
                 < A c c o u n t B a l a n c e >  
                     < F i e l d N a m e > P r i o r P e r i o d 3 B a l a n c e < / F i e l d N a m e >  
                     < B a l a n c e > 1 5 2 3 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 2 6 4 2 0 1 9 4 7 9 8 0 0 0 0 0 2 4 0 < / I D >  
             < T a r g e t A c c o u n t I D > 2 6 4 2 0 1 9 4 7 9 8 0 0 0 0 0 4 1 5 < / T a r g e t A c c o u n t I D >  
             < C h a r t I D > 2 6 4 2 0 1 9 4 7 9 8 0 0 0 0 0 2 3 1 < / C h a r t I D >  
             < I s L i n k e d > f a l s e < / I s L i n k e d >  
             < N u m b e r > 0 1 0 1 0 0 1 0 0 0 0 5 < / N u m b e r >  
             < N a m e > B A N K   B A L A N C E S   -   B A N K   A L   F A L A H   L I M I T E D     -   K S E   B R A N C H < / N a m e >  
             < A J E > 0 < / A J E >  
             < A d j u s t > 2 1 2 8 < / A d j u s t >  
             < R J E > 0 < / R J E >  
             < P r e l i m i n a r y > 2 1 2 8 < / P r e l i m i n a r y >  
             < F i n a l > 2 1 2 8 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 2 6 4 2 0 1 9 4 7 9 8 0 0 0 0 0 2 4 1 < / I D >  
             < T a r g e t A c c o u n t I D > 2 6 4 2 0 1 9 4 7 9 8 0 0 0 0 0 4 1 5 < / T a r g e t A c c o u n t I D >  
             < C h a r t I D > 2 6 4 2 0 1 9 4 7 9 8 0 0 0 0 0 2 3 1 < / C h a r t I D >  
             < I s L i n k e d > f a l s e < / I s L i n k e d >  
             < N u m b e r > 0 1 0 1 0 0 1 0 0 0 1 1 < / N u m b e r >  
             < N a m e > B A N K   B A L A N C E S   -   F A Y S A L   B A N K   L I M I T E D   -   G U L S H A N   E   I Q B A L   B R A N C H < / N a m e >  
             < A J E > 0 < / A J E >  
             < A d j u s t > 0 < / A d j u s t >  
             < R J E > 0 < / R J E >  
             < P r e l i m i n a r y > 0 < / P r e l i m i n a r y >  
             < F i n a l > 0 < / F i n a l >  
         < / A c c o u n t S t o r a g e >  
         < A c c o u n t S t o r a g e >  
             < A c c o u n t B a l a n c e s >  
                 < A c c o u n t B a l a n c e >  
                     < F i e l d N a m e > P r i o r P e r i o d 1 B a l a n c e < / F i e l d N a m e >  
                     < B a l a n c e > 1 2 8 7 < / B a l a n c e >  
                 < / A c c o u n t B a l a n c e >  
                 < A c c o u n t B a l a n c e >  
                     < F i e l d N a m e > P r i o r P e r i o d 2 B a l a n c e < / F i e l d N a m e >  
                     < B a l a n c e > 1 7 3 1 < / B a l a n c e >  
                 < / A c c o u n t B a l a n c e >  
                 < A c c o u n t B a l a n c e >  
                     < F i e l d N a m e > P r i o r P e r i o d 3 B a l a n c e < / F i e l d N a m e >  
                     < B a l a n c e > 1 2 4 8 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 2 6 4 2 0 1 9 4 7 9 8 0 0 0 0 0 2 5 0 < / I D >  
             < T a r g e t A c c o u n t I D > 2 6 4 2 0 1 9 4 7 9 8 0 0 0 0 0 4 1 5 < / T a r g e t A c c o u n t I D >  
             < C h a r t I D > 2 6 4 2 0 1 9 4 7 9 8 0 0 0 0 0 2 3 1 < / C h a r t I D >  
             < I s L i n k e d > f a l s e < / I s L i n k e d >  
             < N u m b e r > 0 1 0 1 0 0 1 0 0 0 1 4 < / N u m b e r >  
             < N a m e > B A N K   B A L A N C E S   -   H A B I B   M E T R O P O L I T A N   B A N K   L I M I T E D   -   K A R A C H I   S T O C K   E X C H A N G E   B R A N C H < / N a m e >  
             < A J E > 0 < / A J E >  
             < A d j u s t > 3 1 5 8 < / A d j u s t >  
             < R J E > 0 < / R J E >  
             < P r e l i m i n a r y > 3 1 5 8 < / P r e l i m i n a r y >  
             < F i n a l > 3 1 5 8 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 2 6 4 2 0 1 9 4 7 9 8 0 0 0 0 0 2 5 1 < / I D >  
             < T a r g e t A c c o u n t I D > 2 6 4 2 0 1 9 4 7 9 8 0 0 0 0 0 4 1 5 < / T a r g e t A c c o u n t I D >  
             < C h a r t I D > 2 6 4 2 0 1 9 4 7 9 8 0 0 0 0 0 2 3 1 < / C h a r t I D >  
             < I s L i n k e d > f a l s e < / I s L i n k e d >  
             < N u m b e r > 0 1 0 1 0 0 1 0 0 0 1 5 < / N u m b e r >  
             < N a m e > B A N K   B A L A N C E S   -   H A B I B   M E T R O   B A N K 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 2 6 4 2 0 1 9 4 7 9 8 0 0 0 0 0 2 5 8 < / I D >  
             < T a r g e t A c c o u n t I D > 2 6 4 2 0 1 9 4 7 9 8 0 0 0 0 0 4 1 5 < / T a r g e t A c c o u n t I D >  
             < C h a r t I D > 2 6 4 2 0 1 9 4 7 9 8 0 0 0 0 0 2 3 1 < / C h a r t I D >  
             < I s L i n k e d > f a l s e < / I s L i n k e d >  
             < N u m b e r > 0 1 0 1 0 0 1 0 0 0 1 7 < / N u m b e r >  
             < N a m e > B A N K   B A L A N C E S   -   M C B   B A N K   L I M I T E D   -   U N I   T O W E R   B R A N C H < / N a m e >  
             < A J E > 0 < / A J E >  
             < A d j u s t > 0 < / A d j u s t >  
             < R J E > 0 < / R J E >  
             < P r e l i m i n a r y > 0 < / P r e l i m i n a r y >  
             < F i n a l > 0 < / F i n a l >  
         < / A c c o u n t S t o r a g e >  
         < A c c o u n t S t o r a g e >  
             < A c c o u n t B a l a n c e s >  
                 < A c c o u n t B a l a n c e >  
                     < F i e l d N a m e > P r i o r P e r i o d 1 B a l a n c e < / F i e l d N a m e >  
                     < B a l a n c e > 1 5 7 7 < / B a l a n c e >  
                 < / A c c o u n t B a l a n c e >  
                 < A c c o u n t B a l a n c e >  
                     < F i e l d N a m e > P r i o r P e r i o d 2 B a l a n c e < / F i e l d N a m e >  
                     < B a l a n c e > 5 1 0 < / B a l a n c e >  
                 < / A c c o u n t B a l a n c e >  
                 < A c c o u n t B a l a n c e >  
                     < F i e l d N a m e > P r i o r P e r i o d 3 B a l a n c e < / F i e l d N a m e >  
                     < B a l a n c e > 1 4 8 7 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 2 6 4 2 0 1 9 4 7 9 8 0 0 0 0 0 2 5 9 < / I D >  
             < T a r g e t A c c o u n t I D > 2 6 4 2 0 1 9 4 7 9 8 0 0 0 0 0 4 1 5 < / T a r g e t A c c o u n t I D >  
             < C h a r t I D > 2 6 4 2 0 1 9 4 7 9 8 0 0 0 0 0 2 3 1 < / C h a r t I D >  
             < I s L i n k e d > f a l s e < / I s L i n k e d >  
             < N u m b e r > 0 1 0 1 0 0 1 0 0 0 2 1 < / N u m b e r >  
             < N a m e > B A N K   B A L A N C E S   -   M C B   B A N K   L I M I T E D   -   G L O B A L   T R A N S A C T I O N   -   S H A H E E N   C O M P L E X   B R A N C H < / N a m e >  
             < A J E > 0 < / A J E >  
             < A d j u s t > 1 1 9 7 < / A d j u s t >  
             < R J E > 0 < / R J E >  
             < P r e l i m i n a r y > 1 1 9 7 < / P r e l i m i n a r y >  
             < F i n a l > 1 1 9 7 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 2 9 6 1 8 1 5 9 6 0 0 0 0 0 0 0 0 0 2 < / I D >  
             < T a r g e t A c c o u n t I D > 2 6 4 2 0 1 9 4 7 9 8 0 0 0 0 0 4 1 5 < / T a r g e t A c c o u n t I D >  
             < C h a r t I D > 2 6 4 2 0 1 9 4 7 9 8 0 0 0 0 0 2 3 1 < / C h a r t I D >  
             < I s L i n k e d > f a l s e < / I s L i n k e d >  
             < N u m b e r > 0 1 0 1 0 0 1 0 0 0 2 6 < / N u m b e r >  
             < N a m e > B A N K   B A L A N C E S   -   N I B 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 2 6 4 2 0 1 9 4 7 9 8 0 0 0 0 0 2 6 4 < / I D >  
             < T a r g e t A c c o u n t I D > 2 6 4 2 0 1 9 4 7 9 8 0 0 0 0 0 4 1 5 < / T a r g e t A c c o u n t I D >  
             < C h a r t I D > 2 6 4 2 0 1 9 4 7 9 8 0 0 0 0 0 2 3 1 < / C h a r t I D >  
             < I s L i n k e d > f a l s e < / I s L i n k e d >  
             < N u m b e r > 0 1 0 1 0 0 1 0 0 0 2 7 < / N u m b e r >  
             < N a m e > B A N K   B A L A N C E S 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 1 4 < / B a l a n c e >  
                 < / A c c o u n t B a l a n c e >  
                 < A c c o u n t B a l a n c e >  
                     < F i e l d N a m e > P r i o r P e r i o d 3 B a l a n c e < / F i e l d N a m e >  
                     < B a l a n c e > 1 4 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 2 6 4 2 0 1 9 4 7 9 8 0 0 0 0 0 2 6 5 < / I D >  
             < T a r g e t A c c o u n t I D > 2 6 4 2 0 1 9 4 7 9 8 0 0 0 0 0 4 1 5 < / T a r g e t A c c o u n t I D >  
             < C h a r t I D > 2 6 4 2 0 1 9 4 7 9 8 0 0 0 0 0 2 3 1 < / C h a r t I D >  
             < I s L i n k e d > f a l s e < / I s L i n k e d >  
             < N u m b e r > 0 1 0 1 0 0 1 0 0 0 4 0 < / N u m b e r >  
             < N a m e > B A N K   B A L A N C E S   -   U N I T E D   B A N K   L I M I T E D   -   C O R P O R A T E   B R A N C H < / N a m e >  
             < A J E > 0 < / A J E >  
             < A d j u s t > 1 4 < / A d j u s t >  
             < R J E > 0 < / R J E >  
             < P r e l i m i n a r y > 1 4 < / P r e l i m i n a r y >  
             < F i n a l > 1 4 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 2 6 4 2 0 1 9 4 7 9 8 0 0 0 0 0 2 7 0 < / I D >  
             < T a r g e t A c c o u n t I D > 2 6 4 2 0 1 9 4 7 9 8 0 0 0 0 0 4 1 5 < / T a r g e t A c c o u n t I D >  
             < C h a r t I D > 2 6 4 2 0 1 9 4 7 9 8 0 0 0 0 0 2 3 1 < / C h a r t I D >  
             < I s L i n k e d > f a l s e < / I s L i n k e d >  
             < N u m b e r > 0 1 0 1 0 0 1 0 0 0 5 4 < / N u m b e r >  
             < N a m e > B a n k   B a l a n c e s   -   M c b   B a n k   L i m i t e d   -   S h a h e e n   C o m p l e x 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 6 8 0 2 0 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 2 9 6 1 8 1 5 9 6 0 0 0 0 0 0 0 0 0 3 < / I D >  
             < T a r g e t A c c o u n t I D > 2 6 4 2 0 1 9 4 7 9 8 0 0 0 0 0 4 1 5 < / T a r g e t A c c o u n t I D >  
             < C h a r t I D > 2 6 4 2 0 1 9 4 7 9 8 0 0 0 0 0 2 3 1 < / C h a r t I D >  
             < I s L i n k e d > f a l s e < / I s L i n k e d >  
             < N u m b e r > 0 1 0 1 0 0 1 0 0 0 5 6 < / N u m b e r >  
             < N a m e > B a n k   B a l a n c e s   -   A l l i e d   B a n k   L i m i t e d   -   F o r e i g n   E x c h   B r   ( M c b f s l ) < / 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 3 2 7 6 0 6 9 6 1 1 8 0 0 0 0 0 0 9 8 < / I D >  
             < T a r g e t A c c o u n t I D > 2 6 4 2 0 1 9 4 7 9 8 0 0 0 0 0 4 1 5 < / T a r g e t A c c o u n t I D >  
             < C h a r t I D > 2 6 4 2 0 1 9 4 7 9 8 0 0 0 0 0 2 3 1 < / C h a r t I D >  
             < I s L i n k e d > f a l s e < / I s L i n k e d >  
             < N u m b e r > 0 1 0 1 0 0 1 0 0 0 6 5 < / N u m b e r >  
             < N a m e > B a n k   B a l a n c e s   -   D u b a i   I s l a m i c   B a n k   -   K s e   B r a n c h < / N a m e >  
             < A J E > 0 < / A J E >  
             < A d j u s t > 1 0 < / A d j u s t >  
             < R J E > 0 < / R J E >  
             < P r e l i m i n a r y > 1 0 < / P r e l i m i n a r y >  
             < F i n a l > 1 0 < / 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 6 < / B a l a n c e >  
                 < / A c c o u n t B a l a n c e >  
                 < A c c o u n t B a l a n c e >  
                     < F i e l d N a m e > P r i o r P e r i o d 3 B a l a n c e < / F i e l d N a m e >  
                     < B a l a n c e > 6 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 2 6 4 2 0 1 9 4 7 9 8 0 0 0 0 0 2 7 3 < / I D >  
             < T a r g e t A c c o u n t I D > 2 6 4 2 0 1 9 4 7 9 8 0 0 0 0 0 4 1 5 < / T a r g e t A c c o u n t I D >  
             < C h a r t I D > 2 6 4 2 0 1 9 4 7 9 8 0 0 0 0 0 2 3 1 < / C h a r t I D >  
             < I s L i n k e d > f a l s e < / I s L i n k e d >  
             < N u m b e r > 0 1 0 1 0 0 1 0 0 0 6 9 < / N u m b e r >  
             < N a m e > B a n k   B a l a n c e s   -   B a n k   A l   H a b i b   L i m i t e d   -   M a i n   B r a n c h < / N a m e >  
             < A J E > 0 < / A J E >  
             < A d j u s t > 6 < / A d j u s t >  
             < R J E > 0 < / R J E >  
             < P r e l i m i n a r y > 6 < / P r e l i m i n a r y >  
             < F i n a l > 6 < / 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 1 4 < / B a l a n c e >  
                 < / A c c o u n t B a l a n c e >  
                 < A c c o u n t B a l a n c e >  
                     < F i e l d N a m e > P r i o r P e r i o d 3 B a l a n c e < / F i e l d N a m e >  
                     < B a l a n c e > 1 4 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 2 6 4 2 0 1 9 4 7 9 8 0 0 0 0 0 5 1 1 < / I D >  
             < T a r g e t A c c o u n t I D > 2 6 4 2 0 1 9 4 7 9 8 0 0 0 0 0 4 1 5 < / T a r g e t A c c o u n t I D >  
             < C h a r t I D > 2 6 4 2 0 1 9 4 7 9 8 0 0 0 0 0 2 3 1 < / C h a r t I D >  
             < I s L i n k e d > f a l s e < / I s L i n k e d >  
             < N u m b e r > 0 1 0 1 0 0 1 0 0 0 7 2 < / N u m b e r >  
             < N a m e > B a n k   B a l a n c e s   -   Z a r a i   T a r a q i a t i   B a n k   L i m i t e d   -   S h a f i   C o u r t   B r a n c h < / N a m e >  
             < A J E > 0 < / A J E >  
             < A d j u s t > 1 5 < / A d j u s t >  
             < R J E > 0 < / R J E >  
             < P r e l i m i n a r y > 1 5 < / P r e l i m i n a r y >  
             < F i n a l > 1 5 < / F i n a l >  
         < / A c c o u n t S t o r a g e >  
         < A c c o u n t S t o r a g e >  
             < A c c o u n t B a l a n c e s >  
                 < A c c o u n t B a l a n c e >  
                     < F i e l d N a m e > P r i o r P e r i o d 1 B a l a n c e < / F i e l d N a m e >  
                     < B a l a n c e > 2 4 9 5 < / B a l a n c e >  
                 < / A c c o u n t B a l a n c e >  
                 < A c c o u n t B a l a n c e >  
                     < F i e l d N a m e > P r i o r P e r i o d 2 B a l a n c e < / F i e l d N a m e >  
                     < B a l a n c e > 5 6 7 2 < / B a l a n c e >  
                 < / A c c o u n t B a l a n c e >  
                 < A c c o u n t B a l a n c e >  
                     < F i e l d N a m e > P r i o r P e r i o d 3 B a l a n c e < / F i e l d N a m e >  
                     < B a l a n c e > 2 2 5 4 2 1 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 2 6 4 2 0 1 9 4 7 9 8 0 0 0 0 0 5 1 2 < / I D >  
             < T a r g e t A c c o u n t I D > 2 6 4 2 0 1 9 4 7 9 8 0 0 0 0 0 4 1 5 < / T a r g e t A c c o u n t I D >  
             < C h a r t I D > 2 6 4 2 0 1 9 4 7 9 8 0 0 0 0 0 2 3 1 < / C h a r t I D >  
             < I s L i n k e d > f a l s e < / I s L i n k e d >  
             < N u m b e r > 0 1 0 1 0 0 1 0 0 0 7 5 < / N u m b e r >  
             < N a m e > B a n k   B a l a n c e s   -   J s   B a n k   L i m i t e d   -   O c e a n   T o w e r ,   C l i f t o n   B r a n c h < / N a m e >  
             < A J E > 0 < / A J E >  
             < A d j u s t > 7 9 6 < / A d j u s t >  
             < R J E > 0 < / R J E >  
             < P r e l i m i n a r y > 7 9 6 < / P r e l i m i n a r y >  
             < F i n a l > 7 9 6 < / F i n a l >  
         < / A c c o u n t S t o r a g e >  
         < A c c o u n t S t o r a g e >  
             < A c c o u n t B a l a n c e s >  
                 < A c c o u n t B a l a n c e >  
                     < F i e l d N a m e > P r i o r P e r i o d 1 B a l a n c e < / F i e l d N a m e >  
                     < B a l a n c e > 4 < / B a l a n c e >  
                 < / A c c o u n t B a l a n c e >  
                 < A c c o u n t B a l a n c e >  
                     < F i e l d N a m e > P r i o r P e r i o d 2 B a l a n c e < / F i e l d N a m e >  
                     < B a l a n c e > 5 < / B a l a n c e >  
                 < / A c c o u n t B a l a n c e >  
                 < A c c o u n t B a l a n c e >  
                     < F i e l d N a m e > P r i o r P e r i o d 3 B a l a n c e < / F i e l d N a m e >  
                     < B a l a n c e > 5 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 2 6 4 2 0 1 9 4 7 9 8 0 0 0 0 0 5 1 3 < / I D >  
             < T a r g e t A c c o u n t I D > 2 6 4 2 0 1 9 4 7 9 8 0 0 0 0 0 4 1 5 < / T a r g e t A c c o u n t I D >  
             < C h a r t I D > 2 6 4 2 0 1 9 4 7 9 8 0 0 0 0 0 2 3 1 < / C h a r t I D >  
             < I s L i n k e d > f a l s e < / I s L i n k e d >  
             < N u m b e r > 0 1 0 1 0 0 1 0 0 0 7 7 < / N u m b e r >  
             < N a m e > B a n k   B a l a n c e s   -   N R S P   M i c r o f i n a n c e   B a n k   L i m i t e d < / N a m e >  
             < A J E > 0 < / A J E >  
             < A d j u s t > 4 < / A d j u s t >  
             < R J E > 0 < / R J E >  
             < P r e l i m i n a r y > 4 < / P r e l i m i n a r y >  
             < F i n a l > 4 < / F i n a l >  
         < / A c c o u n t S t o r a g e >  
         < A c c o u n t S t o r a g e >  
             < A c c o u n t B a l a n c e s >  
                 < A c c o u n t B a l a n c e >  
                     < F i e l d N a m e > P r i o r P e r i o d 1 B a l a n c e < / F i e l d N a m e >  
                     < B a l a n c e > 1 2 < / B a l a n c e >  
                 < / A c c o u n t B a l a n c e >  
                 < A c c o u n t B a l a n c e >  
                     < F i e l d N a m e > P r i o r P e r i o d 2 B a l a n c e < / F i e l d N a m e >  
                     < B a l a n c e > 1 2 < / B a l a n c e >  
                 < / A c c o u n t B a l a n c e >  
                 < A c c o u n t B a l a n c e >  
                     < F i e l d N a m e > P r i o r P e r i o d 3 B a l a n c e < / F i e l d N a m e >  
                     < B a l a n c e > 1 1 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 2 6 4 2 0 1 9 4 7 9 8 0 0 0 0 0 5 1 4 < / I D >  
             < T a r g e t A c c o u n t I D > 2 6 4 2 0 1 9 4 7 9 8 0 0 0 0 0 4 1 5 < / T a r g e t A c c o u n t I D >  
             < C h a r t I D > 2 6 4 2 0 1 9 4 7 9 8 0 0 0 0 0 2 3 1 < / C h a r t I D >  
             < I s L i n k e d > f a l s e < / I s L i n k e d >  
             < N u m b e r > 0 1 0 1 0 0 1 0 0 0 7 8 < / N u m b e r >  
             < N a m e > B a n k   B a l a n c e s   -   M o b i l i n k 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 1 1 < / B a l a n c e >  
                 < / A c c o u n t B a l a n c e >  
                 < A c c o u n t B a l a n c e >  
                     < F i e l d N a m e > P r i o r P e r i o d 2 B a l a n c e < / F i e l d N a m e >  
                     < B a l a n c e > 1 1 < / B a l a n c e >  
                 < / A c c o u n t B a l a n c e >  
                 < A c c o u n t B a l a n c e >  
                     < F i e l d N a m e > P r i o r P e r i o d 3 B a l a n c e < / F i e l d N a m e >  
                     < B a l a n c e > 1 1 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 2 6 4 2 0 1 9 4 7 9 8 0 0 0 0 0 5 1 5 < / I D >  
             < T a r g e t A c c o u n t I D > 2 6 4 2 0 1 9 4 7 9 8 0 0 0 0 0 4 1 5 < / T a r g e t A c c o u n t I D >  
             < C h a r t I D > 2 6 4 2 0 1 9 4 7 9 8 0 0 0 0 0 2 3 1 < / C h a r t I D >  
             < I s L i n k e d > f a l s e < / I s L i n k e d >  
             < N u m b e r > 0 1 0 1 0 0 1 0 0 0 7 9 < / N u m b e r >  
             < N a m e > B a n k   B a l a n c e s 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 9 < / B a l a n c e >  
                 < / A c c o u n t B a l a n c e >  
                 < A c c o u n t B a l a n c e >  
                     < F i e l d N a m e > P r i o r P e r i o d 2 B a l a n c e < / F i e l d N a m e >  
                     < B a l a n c e > 5 1 < / B a l a n c e >  
                 < / A c c o u n t B a l a n c e >  
                 < A c c o u n t B a l a n c e >  
                     < F i e l d N a m e > P r i o r P e r i o d 3 B a l a n c e < / F i e l d N a m e >  
                     < B a l a n c e > 5 1 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 2 6 4 2 0 1 9 4 7 9 8 0 0 0 0 0 5 1 6 < / I D >  
             < T a r g e t A c c o u n t I D > 2 6 4 2 0 1 9 4 7 9 8 0 0 0 0 0 4 1 5 < / T a r g e t A c c o u n t I D >  
             < C h a r t I D > 2 6 4 2 0 1 9 4 7 9 8 0 0 0 0 0 2 3 1 < / C h a r t I D >  
             < I s L i n k e d > f a l s e < / I s L i n k e d >  
             < N u m b e r > 0 1 0 1 0 0 1 0 0 0 8 0 < / N u m b e r >  
             < N a m e > B a n k   B a l a n c e s 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 1 4 5 < / B a l a n c e >  
                 < / A c c o u n t B a l a n c e >  
                 < A c c o u n t B a l a n c e >  
                     < F i e l d N a m e > P r i o r P e r i o d 2 B a l a n c e < / F i e l d N a m e >  
                     < B a l a n c e > 5 0 8 5 1 < / B a l a n c e >  
                 < / A c c o u n t B a l a n c e >  
                 < A c c o u n t B a l a n c e >  
                     < F i e l d N a m e > P r i o r P e r i o d 3 B a l a n c e < / F i e l d N a m e >  
                     < B a l a n c e > 5 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 2 6 4 2 0 1 9 4 7 9 8 0 0 0 0 0 5 1 7 < / I D >  
             < T a r g e t A c c o u n t I D > 2 6 4 2 0 1 9 4 7 9 8 0 0 0 0 0 4 1 5 < / T a r g e t A c c o u n t I D >  
             < C h a r t I D > 2 6 4 2 0 1 9 4 7 9 8 0 0 0 0 0 2 3 1 < / C h a r t I D >  
             < I s L i n k e d > f a l s e < / I s L i n k e d >  
             < N u m b e r > 0 1 0 1 0 0 1 0 0 0 8 2 < / N u m b e r >  
             < N a m e > B a n k   B a l a n c e s   -   T a m e e r   M i c r o f i n a n c e   B a n k < / N a m e >  
             < A J E > 0 < / A J E >  
             < A d j u s t > 0 < / A d j u s t >  
             < R J E > 0 < / R J E >  
             < P r e l i m i n a r y > 0 < / P r e l i m i n a r y >  
             < F i n a l > 0 < / 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 1 0 < / B a l a n c e >  
                 < / A c c o u n t B a l a n c e >  
                 < A c c o u n t B a l a n c e >  
                     < F i e l d N a m e > P r i o r P e r i o d 3 B a l a n c e < / F i e l d N a m e >  
                     < B a l a n c e > 1 0 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 2 6 4 2 0 1 9 4 7 9 8 0 0 0 0 0 5 1 8 < / I D >  
             < T a r g e t A c c o u n t I D > 2 6 4 2 0 1 9 4 7 9 8 0 0 0 0 0 4 1 5 < / T a r g e t A c c o u n t I D >  
             < C h a r t I D > 2 6 4 2 0 1 9 4 7 9 8 0 0 0 0 0 2 3 1 < / C h a r t I D >  
             < I s L i n k e d > f a l s e < / I s L i n k e d >  
             < N u m b e r > 0 1 0 1 0 0 1 0 0 0 8 5 < / N u m b e r >  
             < N a m e > B a n k   B a l a n c e s   -   F i n c a   M i c r o   F i n a n c e   B a n k   ( L i a q u a t a b a d   B r a n c h ) < / N a m e >  
             < A J E > 0 < / A J E >  
             < A d j u s t > 1 0 < / A d j u s t >  
             < R J E > 0 < / R J E >  
             < P r e l i m i n a r y > 1 0 < / P r e l i m i n a r y >  
             < F i n a l > 1 0 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 2 6 4 2 0 1 9 4 7 9 8 0 0 0 0 0 5 1 9 < / I D >  
             < T a r g e t A c c o u n t I D > 2 6 4 2 0 1 9 4 7 9 8 0 0 0 0 0 4 1 5 < / T a r g e t A c c o u n t I D >  
             < C h a r t I D > 2 6 4 2 0 1 9 4 7 9 8 0 0 0 0 0 2 3 1 < / C h a r t I D >  
             < I s L i n k e d > f a l s e < / I s L i n k e d >  
             < N u m b e r > 0 1 0 1 0 0 1 0 0 0 8 7 < / N u m b e r >  
             < N a m e > B a n k   B a l a n c e s   -   H a b i b   B a n k   L i m i t e d   -   K s e   B r a n c h < / N a m e >  
             < A J E > 0 < / A J E >  
             < A d j u s t > 0 < / A d j u s t >  
             < R J E > 0 < / R J E >  
             < P r e l i m i n a r y > 0 < / P r e l i m i n a r y >  
             < F i n a l > 0 < / F i n a l >  
         < / A c c o u n t S t o r a g e >  
         < A c c o u n t S t o r a g e >  
             < A c c o u n t B a l a n c e s >  
                 < A c c o u n t B a l a n c e >  
                     < F i e l d N a m e > P r i o r P e r i o d 1 B a l a n c e < / F i e l d N a m e >  
                     < B a l a n c e > 1 2 < / B a l a n c e >  
                 < / A c c o u n t B a l a n c e >  
                 < A c c o u n t B a l a n c e >  
                     < F i e l d N a m e > P r i o r P e r i o d 2 B a l a n c e < / F i e l d N a m e >  
                     < B a l a n c e > 8 2 7 < / B a l a n c e >  
                 < / A c c o u n t B a l a n c e >  
                 < A c c o u n t B a l a n c e >  
                     < F i e l d N a m e > P r i o r P e r i o d 3 B a l a n c e < / F i e l d N a m e >  
                     < B a l a n c e > 5 0 2 5 8 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 2 6 4 2 0 1 9 4 7 9 8 0 0 0 0 0 5 8 1 < / I D >  
             < T a r g e t A c c o u n t I D > 2 6 4 2 0 1 9 4 7 9 8 0 0 0 0 0 4 1 5 < / T a r g e t A c c o u n t I D >  
             < C h a r t I D > 2 6 4 2 0 1 9 4 7 9 8 0 0 0 0 0 2 3 1 < / C h a r t I D >  
             < I s L i n k e d > f a l s e < / I s L i n k e d >  
             < N u m b e r > 0 1 0 1 0 0 1 0 0 0 9 3 < / N u m b e r >  
             < N a m e > B a n k   B a l a n c e s   -   F i r s t   M i c r o   F i n a n c e   B a n k -   C l i f t o n 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 2 6 4 2 0 1 9 4 7 9 8 0 0 0 0 2 6 6 6 < / I D >  
             < T a r g e t A c c o u n t I D > 2 6 4 2 0 1 9 4 7 9 8 0 0 0 0 0 4 1 5 < / T a r g e t A c c o u n t I D >  
             < C h a r t I D > 2 6 4 2 0 1 9 4 7 9 8 0 0 0 0 0 2 3 1 < / C h a r t I D >  
             < I s L i n k e d > f a l s e < / I s L i n k e d >  
             < N u m b e r > 0 1 0 1 0 0 1 0 0 1 0 0 < / N u m b e r >  
             < N a m e > B a n k   B a l a n c e s   -   N a t i o n a l   B a n k   O f   P a k i s t a n   -   M a i n   B r a n c h < / N a m e >  
             < A J E > 0 < / A J E >  
             < A d j u s t > 0 < / A d j u s t >  
             < R J E > 0 < / R J E >  
             < P r e l i m i n a r y > 0 < / P r e l i m i n a r y >  
             < F i n a l > 0 < / F i n a l >  
         < / A c c o u n t S t o r a g e >  
         < A c c o u n t S t o r a g e >  
             < A c c o u n t B a l a n c e s >  
                 < A c c o u n t B a l a n c e >  
                     < F i e l d N a m e > P r i o r P e r i o d 1 B a l a n c e < / F i e l d N a m e >  
                     < B a l a n c e > 1 0 4 7 8 2 < / B a l a n c e >  
                 < / A c c o u n t B a l a n c e >  
                 < A c c o u n t B a l a n c e >  
                     < F i e l d N a m e > P r i o r P e r i o d 2 B a l a n c e < / F i e l d N a m e >  
                     < B a l a n c e > 6 0 6 < / B a l a n c e >  
                 < / A c c o u n t B a l a n c e >  
                 < A c c o u n t B a l a n c e >  
                     < F i e l d N a m e > P r i o r P e r i o d 3 B a l a n c e < / F i e l d N a m e >  
                     < B a l a n c e > 8 4 7 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 2 9 6 1 8 1 5 9 6 0 0 0 0 0 0 0 0 0 4 < / I D >  
             < T a r g e t A c c o u n t I D > 2 6 4 2 0 1 9 4 7 9 8 0 0 0 0 0 4 1 5 < / T a r g e t A c c o u n t I D >  
             < C h a r t I D > 2 6 4 2 0 1 9 4 7 9 8 0 0 0 0 0 2 3 1 < / C h a r t I D >  
             < I s L i n k e d > f a l s e < / I s L i n k e d >  
             < N u m b e r > 0 1 0 1 0 0 1 0 0 1 0 3 < / N u m b e r >  
             < N a m e > B a n k   B a l a n c e s   -   S i l k   B a n k   L i m i t e d   -   M a i n   B r a n c h < / N a m e >  
             < A J E > 0 < / A J E >  
             < A d j u s t > 9 2 1 < / A d j u s t >  
             < R J E > 0 < / R J E >  
             < P r e l i m i n a r y > 9 2 1 < / P r e l i m i n a r y >  
             < F i n a l > 9 2 1 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 3 2 7 6 0 6 9 6 1 1 8 0 0 0 0 0 0 9 9 < / I D >  
             < T a r g e t A c c o u n t I D > 2 6 4 2 0 1 9 4 7 9 8 0 0 0 0 0 4 1 5 < / T a r g e t A c c o u n t I D >  
             < C h a r t I D > 2 6 4 2 0 1 9 4 7 9 8 0 0 0 0 0 2 3 1 < / C h a r t I D >  
             < I s L i n k e d > f a l s e < / I s L i n k e d >  
             < N u m b e r > 0 1 0 1 0 0 1 0 0 1 2 2 < / N u m b e r >  
             < N a m e > B A N K   B A L A N C E S   -   A L L I E D   B A N K   L I M I T E D   F X   C u r r e n t   A / C < / N a m e >  
             < A J E > 0 < / A J E >  
             < A d j u s t > 1 0 < / A d j u s t >  
             < R J E > 0 < / R J E >  
             < P r e l i m i n a r y > 1 0 < / P r e l i m i n a r y >  
             < F i n a l > 1 0 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 3 7 3 8 8 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 2 6 4 2 0 1 9 4 7 9 8 0 0 0 0 0 5 2 4 < / I D >  
             < T a r g e t A c c o u n t I D > 2 6 4 2 0 1 9 4 7 9 8 0 0 0 0 0 3 7 1 < / T a r g e t A c c o u n t I D >  
             < C h a r t I D > 2 6 4 2 0 1 9 4 7 9 8 0 0 0 0 0 2 3 1 < / C h a r t I D >  
             < I s L i n k e d > f a l s e < / I s L i n k e d >  
             < N u m b e r > 0 1 0 5 0 0 1 0 0 0 0 1 < / N u m b e r >  
             < N a m e > R E C E I V A B L E   A G A I N S T   S A L E   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 2 6 4 2 0 1 9 4 7 9 8 0 0 0 0 0 3 0 8 < / I D >  
             < T a r g e t A c c o u n t I D > 2 6 4 2 0 1 9 4 7 9 8 0 0 0 0 0 3 7 1 < / T a r g e t A c c o u n t I D >  
             < C h a r t I D > 2 6 4 2 0 1 9 4 7 9 8 0 0 0 0 0 2 3 1 < / C h a r t I D >  
             < I s L i n k e d > f a l s e < / I s L i n k e d >  
             < N u m b e r > 0 1 0 5 0 0 2 0 0 0 0 1 < / N u m b e r >  
             < N a m e > R E C E I V A B L E   A G A I N S T   S A L E   O F   M O N E Y   M A R K E T   I N V E S T M E N T S 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 2 6 4 2 0 1 9 4 7 9 8 0 0 0 0 0 5 7 7 < / I D >  
             < T a r g e t A c c o u n t I D > 2 6 4 2 0 1 9 4 7 9 8 0 0 0 0 0 3 7 1 < / T a r g e t A c c o u n t I D >  
             < C h a r t I D > 2 6 4 2 0 1 9 4 7 9 8 0 0 0 0 0 2 3 1 < / C h a r t I D >  
             < I s L i n k e d > f a l s e < / I s L i n k e d >  
             < N u m b e r > 0 1 0 5 0 0 2 0 0 0 0 2 < / N u m b e r >  
             < N a m e > R E C E I V A B L E   A G A I N S T   S A L E   O F   I N V E S T M E N T S 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 2 6 4 2 0 1 9 4 7 9 8 0 0 0 0 0 5 2 0 < / I D >  
             < T a r g e t A c c o u n t I D > 2 6 4 2 0 1 9 4 7 9 8 0 0 0 0 0 4 2 8 < / T a r g e t A c c o u n t I D >  
             < C h a r t I D > 2 6 4 2 0 1 9 4 7 9 8 0 0 0 0 0 2 3 1 < / C h a r t I D >  
             < I s L i n k e d > f a l s e < / I s L i n k e d >  
             < N u m b e r > 0 1 0 2 0 0 1 0 0 0 0 1 < / N u m b e r >  
             < N a m e > R E C E I V A B L E   A G A I N S T   M A R G I N   T R A D I N G   S Y S T E M   T R A N S A C T I O N S < / N a m e >  
             < A J E > 0 < / A J E >  
             < A d j u s t > 0 < / A d j u s t >  
             < R J E > 0 < / R J E >  
             < P r e l i m i n a r y > 0 < / P r e l i m i n a r y >  
             < F i n a l > 0 < / F i n a l >  
         < / A c c o u n t S t o r a g e >  
         < A c c o u n t S t o r a g e >  
             < A c c o u n t B a l a n c e s >  
                 < A c c o u n t B a l a n c e >  
                     < F i e l d N a m e > P r i o r P e r i o d 1 B a l a n c e < / F i e l d N a m e >  
                     < B a l a n c e > 6 5 8 9 2 < / B a l a n c e >  
                 < / A c c o u n t B a l a n c e >  
                 < A c c o u n t B a l a n c e >  
                     < F i e l d N a m e > P r i o r P e r i o d 2 B a l a n c e < / F i e l d N a m e >  
                     < B a l a n c e > 8 0 9 8 0 < / B a l a n c e >  
                 < / A c c o u n t B a l a n c e >  
                 < A c c o u n t B a l a n c e >  
                     < F i e l d N a m e > P r i o r P e r i o d 3 B a l a n c e < / F i e l d N a m e >  
                     < B a l a n c e > 1 0 0 9 6 1 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 2 6 4 2 0 1 9 4 7 9 8 0 0 0 0 0 2 8 9 < / I D >  
             < T a r g e t A c c o u n t I D > 2 6 4 2 0 1 9 4 7 9 8 0 0 0 0 0 4 1 6 < / T a r g e t A c c o u n t I D >  
             < C h a r t I D > 2 6 4 2 0 1 9 4 7 9 8 0 0 0 0 0 2 3 1 < / C h a r t I D >  
             < I s L i n k e d > f a l s e < / I s L i n k e d >  
             < N u m b e r > 0 1 0 3 0 0 9 0 0 0 0 1 < / N u m b e r >  
             < N a m e > I N V E S T M E N T S   I N   T F C   F A C E   V A L U E   H F T < / N a m e >  
             < A J E > 0 < / A J E >  
             < A d j u s t > 3 9 2 3 7 < / A d j u s t >  
             < R J E > 0 < / R J E >  
             < P r e l i m i n a r y > 3 9 2 3 7 < / P r e l i m i n a r y >  
             < F i n a l > 3 9 2 3 7 < / F i n a l >  
         < / A c c o u n t S t o r a g e >  
         < A c c o u n t S t o r a g e >  
             < A c c o u n t B a l a n c e s >  
                 < A c c o u n t B a l a n c e >  
                     < F i e l d N a m e > P r i o r P e r i o d 1 B a l a n c e < / F i e l d N a m e >  
                     < B a l a n c e > - 1 2 2 3 < / B a l a n c e >  
                 < / A c c o u n t B a l a n c e >  
                 < A c c o u n t B a l a n c e >  
                     < F i e l d N a m e > P r i o r P e r i o d 2 B a l a n c e < / F i e l d N a m e >  
                     < B a l a n c e > - 1 8 2 3 < / B a l a n c e >  
                 < / A c c o u n t B a l a n c e >  
                 < A c c o u n t B a l a n c e >  
                     < F i e l d N a m e > P r i o r P e r i o d 3 B a l a n c e < / F i e l d N a m e >  
                     < B a l a n c e > - 1 2 5 7 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 2 6 4 2 0 1 9 4 7 9 8 0 0 0 0 0 2 9 4 < / I D >  
             < T a r g e t A c c o u n t I D > 2 6 4 2 0 1 9 4 7 9 8 0 0 0 0 0 4 1 6 < / T a r g e t A c c o u n t I D >  
             < C h a r t I D > 2 6 4 2 0 1 9 4 7 9 8 0 0 0 0 0 2 3 1 < / C h a r t I D >  
             < I s L i n k e d > f a l s e < / I s L i n k e d >  
             < N u m b e r > 0 1 0 3 0 0 9 0 0 0 0 2 < / N u m b e r >  
             < N a m e > A P P R E C I A T I O N   /   D I M I N U T I O N   -   T F C   -   H F T < / N a m e >  
             < A J E > 0 < / A J E >  
             < A d j u s t > - 1 3 3 2 < / A d j u s t >  
             < R J E > 0 < / R J E >  
             < P r e l i m i n a r y > - 1 3 3 2 < / P r e l i m i n a r y >  
             < F i n a l > - 1 3 3 2 < / F i n a l >  
         < / A c c o u n t S t o r a g e >  
         < A c c o u n t S t o r a g e >  
             < A c c o u n t B a l a n c e s >  
                 < A c c o u n t B a l a n c e >  
                     < F i e l d N a m e > P r i o r P e r i o d 1 B a l a n c e < / F i e l d N a m e >  
                     < B a l a n c e > 8 0 0 < / B a l a n c e >  
                 < / A c c o u n t B a l a n c e >  
                 < A c c o u n t B a l a n c e >  
                     < F i e l d N a m e > P r i o r P e r i o d 2 B a l a n c e < / F i e l d N a m e >  
                     < B a l a n c e > 8 1 0 < / B a l a n c e >  
                 < / A c c o u n t B a l a n c e >  
                 < A c c o u n t B a l a n c e >  
                     < F i e l d N a m e > P r i o r P e r i o d 3 B a l a n c e < / F i e l d N a m e >  
                     < B a l a n c e > 6 0 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 2 6 4 2 0 1 9 4 7 9 8 0 0 0 0 0 2 9 5 < / I D >  
             < T a r g e t A c c o u n t I D > 2 6 4 2 0 1 9 4 7 9 8 0 0 0 0 0 4 1 6 < / T a r g e t A c c o u n t I D >  
             < C h a r t I D > 2 6 4 2 0 1 9 4 7 9 8 0 0 0 0 0 2 3 1 < / C h a r t I D >  
             < I s L i n k e d > f a l s e < / I s L i n k e d >  
             < N u m b e r > 0 1 0 3 0 0 9 0 0 0 0 3 < / N u m b e r >  
             < N a m e > P R E M I U M   /   D I S C O U N T   O N   T F C   -   H F T < / N a m e >  
             < A J E > 0 < / A J E >  
             < A d j u s t > 1 0 1 2 < / A d j u s t >  
             < R J E > 0 < / R J E >  
             < P r e l i m i n a r y > 1 0 1 2 < / P r e l i m i n a r y >  
             < F i n a l > 1 0 1 2 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 2 6 4 2 0 1 9 4 7 9 8 0 0 0 0 0 2 9 8 < / I D >  
             < T a r g e t A c c o u n t I D > 2 6 4 2 0 1 9 4 7 9 8 0 0 0 0 0 4 1 6 < / T a r g e t A c c o u n t I D >  
             < C h a r t I D > 2 6 4 2 0 1 9 4 7 9 8 0 0 0 0 0 2 3 1 < / C h a r t I D >  
             < I s L i n k e d > f a l s e < / I s L i n k e d >  
             < N u m b e r > 0 1 0 3 0 0 9 0 0 0 0 9 < / N u m b e r >  
             < N a m e > P r o v i s i o n   A g a i n s t   N o n   P e r f o r m i n g   S e c u r i t y     P a c e   P a k i s t a n   L i m i t e d   T f c 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 2 6 4 2 0 1 9 4 7 9 8 0 0 0 0 0 3 1 0 < / I D >  
             < T a r g e t A c c o u n t I D > 2 6 4 2 0 1 9 4 7 9 8 0 0 0 0 0 4 1 6 < / T a r g e t A c c o u n t I D >  
             < C h a r t I D > 2 6 4 2 0 1 9 4 7 9 8 0 0 0 0 0 2 3 1 < / C h a r t I D >  
             < I s L i n k e d > f a l s e < / I s L i n k e d >  
             < N u m b e r > 0 1 0 6 0 0 1 0 0 0 0 1 < / N u m b e r >  
             < N a m e > R E C E I V A B L E   A G A I N S T   R E D E M P T I O N   O F   D E B T   S E C U R I T I E S     P R I N C I P A L . < / 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 2 6 4 2 0 1 9 4 7 9 8 0 0 0 0 0 3 1 6 < / I D >  
             < T a r g e t A c c o u n t I D > 2 6 4 2 0 1 9 4 7 9 8 0 0 0 0 0 4 1 6 < / T a r g e t A c c o u n t I D >  
             < C h a r t I D > 2 6 4 2 0 1 9 4 7 9 8 0 0 0 0 0 2 3 1 < / C h a r t I D >  
             < I s L i n k e d > f a l s e < / I s L i n k e d >  
             < N u m b e r > 0 1 0 6 0 0 3 0 0 0 0 6 < / N u m b e r >  
             < N a m e > P r o v i s i o n   A g a i n s t   R e d   O f   D e b t   S e c   -   P r i n c i p a l   ( P a c e   T f c ) < / 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 2 6 4 2 0 1 9 4 7 9 8 0 0 0 0 0 3 1 7 < / I D >  
             < T a r g e t A c c o u n t I D > 2 6 4 2 0 1 9 4 7 9 8 0 0 0 0 0 4 1 6 < / T a r g e t A c c o u n t I D >  
             < C h a r t I D > 2 6 4 2 0 1 9 4 7 9 8 0 0 0 0 0 2 3 1 < / C h a r t I D >  
             < I s L i n k e d > f a l s e < / I s L i n k e d >  
             < N u m b e r > 0 1 0 6 0 0 3 0 0 0 0 7 < / N u m b e r >  
             < N a m e > P r o v i s i o n   A g a i n s t   R e d   O f   D e b t   S e c   -   P r i n c i p a l   ( E d e n   S u k u k ) 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 2 6 4 2 0 1 9 4 7 9 8 0 0 0 0 0 3 2 2 < / I D >  
             < T a r g e t A c c o u n t I D > 2 6 4 2 0 1 9 4 7 9 8 0 0 0 0 0 4 1 6 < / T a r g e t A c c o u n t I D >  
             < C h a r t I D > 2 6 4 2 0 1 9 4 7 9 8 0 0 0 0 0 2 3 1 < / C h a r t I D >  
             < I s L i n k e d > f a l s e < / I s L i n k e d >  
             < N u m b e r > 0 1 0 6 0 0 3 0 0 0 0 8 < / N u m b e r >  
             < N a m e > P r o v i s i o n   A g a i n s t   R e d   O f   D e b t   S e c   -   P r i n c i p a l   ( P e l   S u k u k ) 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 2 6 4 2 0 1 9 4 7 9 8 0 0 0 0 0 5 8 2 < / I D >  
             < T a r g e t A c c o u n t I D > 2 6 4 2 0 1 9 4 7 9 8 0 0 0 0 0 5 9 2 < / T a r g e t A c c o u n t I D >  
             < C h a r t I D > 2 6 4 2 0 1 9 4 7 9 8 0 0 0 0 0 2 3 1 < / C h a r t I D >  
             < I s L i n k e d > f a l s e < / I s L i n k e d >  
             < N u m b e r > 0 1 0 3 0 3 3 0 0 0 1 < / N u m b e r >  
             < N a m e > P l a c e m e n t   O f   C e r t i f i c a t e   O f   M u s h a r i k a < / 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 2 0 0 0 0 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 2 6 4 2 0 1 9 4 7 9 8 0 0 0 0 0 4 9 9 < / I D >  
             < T a r g e t A c c o u n t I D > 2 6 4 2 0 1 9 4 7 9 8 0 0 0 0 0 4 1 8 < / T a r g e t A c c o u n t I D >  
             < C h a r t I D > 2 6 4 2 0 1 9 4 7 9 8 0 0 0 0 0 2 3 1 < / C h a r t I D >  
             < I s L i n k e d > f a l s e < / I s L i n k e d >  
             < N u m b e r > 0 1 0 3 0 0 3 0 0 0 0 1 < / N u m b e r >  
             < N a m e > I N V E S T M E N T   I N   T R E A S U R Y   B I L L S     F A C E   V A L U E 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 2 6 4 2 0 1 9 4 7 9 8 0 0 0 0 0 2 7 6 < / I D >  
             < T a r g e t A c c o u n t I D > 2 6 4 2 0 1 9 4 7 9 8 0 0 0 0 0 4 1 8 < / T a r g e t A c c o u n t I D >  
             < C h a r t I D > 2 6 4 2 0 1 9 4 7 9 8 0 0 0 0 0 2 3 1 < / C h a r t I D >  
             < I s L i n k e d > f a l s e < / I s L i n k e d >  
             < N u m b e r > 0 1 0 3 0 0 3 0 0 0 0 2 < / N u m b e r >  
             < N a m e > T R E A S U R Y   B I L L S     A P P R E C I A T I O N   /   D I M I N U T I O N 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 - 2 1 9 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 2 6 4 2 0 1 9 4 7 9 8 0 0 0 0 0 2 7 7 < / I D >  
             < T a r g e t A c c o u n t I D > 2 6 4 2 0 1 9 4 7 9 8 0 0 0 0 0 4 1 8 < / T a r g e t A c c o u n t I D >  
             < C h a r t I D > 2 6 4 2 0 1 9 4 7 9 8 0 0 0 0 0 2 3 1 < / C h a r t I D >  
             < I s L i n k e d > f a l s e < / I s L i n k e d >  
             < N u m b e r > 0 1 0 3 0 0 3 0 0 0 0 3 < / N u m b e r >  
             < N a m e > T R E A S U R Y   B I L L S     D I S C O U N T   /   A M O R T I S A T I O N 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 2 6 4 2 0 1 9 4 7 9 8 0 0 0 0 0 2 8 2 < / I D >  
             < T a r g e t A c c o u n t I D > 2 6 4 2 0 1 9 4 7 9 8 0 0 0 0 0 4 1 8 < / T a r g e t A c c o u n t I D >  
             < C h a r t I D > 2 6 4 2 0 1 9 4 7 9 8 0 0 0 0 0 2 3 1 < / C h a r t I D >  
             < I s L i n k e d > f a l s e < / I s L i n k e d >  
             < N u m b e r > 0 1 0 3 0 0 4 0 0 0 0 1 < / N u m b e r >  
             < N a m e > I N V E S T M E N T   I N   P I B     F A C E   V A L U E 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 2 6 4 2 0 1 9 4 7 9 8 0 0 0 0 0 2 8 3 < / I D >  
             < T a r g e t A c c o u n t I D > 2 6 4 2 0 1 9 4 7 9 8 0 0 0 0 0 4 1 8 < / T a r g e t A c c o u n t I D >  
             < C h a r t I D > 2 6 4 2 0 1 9 4 7 9 8 0 0 0 0 0 2 3 1 < / C h a r t I D >  
             < I s L i n k e d > f a l s e < / I s L i n k e d >  
             < N u m b e r > 0 1 0 3 0 0 4 0 0 0 0 2 < / N u m b e r >  
             < N a m e > P A K I S T A N   I N V E S T M E N T   B O N D S     A P P R E C I A T I O N   /   D I M I N U T I O N 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 2 6 4 2 0 1 9 4 7 9 8 0 0 0 0 0 2 8 8 < / I D >  
             < T a r g e t A c c o u n t I D > 2 6 4 2 0 1 9 4 7 9 8 0 0 0 0 0 4 1 8 < / T a r g e t A c c o u n t I D >  
             < C h a r t I D > 2 6 4 2 0 1 9 4 7 9 8 0 0 0 0 0 2 3 1 < / C h a r t I D >  
             < I s L i n k e d > f a l s e < / I s L i n k e d >  
             < N u m b e r > 0 1 0 3 0 0 4 0 0 0 0 3 < / N u m b e r >  
             < N a m e > P A K I S T A N   I N V E S T M E N T   B O N D S     D I S C O U N T   /   A M O R T I S A T I O N 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 2 6 4 2 0 1 9 4 7 9 8 0 0 0 0 0 3 0 1 < / I D >  
             < T a r g e t A c c o u n t I D > 2 6 4 2 0 1 9 4 7 9 8 0 0 0 0 0 4 3 7 < / T a r g e t A c c o u n t I D >  
             < C h a r t I D > 2 6 4 2 0 1 9 4 7 9 8 0 0 0 0 0 2 3 1 < / C h a r t I D >  
             < I s L i n k e d > f a l s e < / I s L i n k e d >  
             < N u m b e r > 0 1 0 3 0 1 3 0 0 0 0 1 < / N u m b e r >  
             < N a m e > I N V E S T M E N T   I N   P A K I S T A N   I N V E S T M E N T   B O N D S     F A C E   V A L U E 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 2 6 4 2 0 1 9 4 7 9 8 0 0 0 0 0 3 0 2 < / I D >  
             < T a r g e t A c c o u n t I D > 2 6 4 2 0 1 9 4 7 9 8 0 0 0 0 0 4 3 7 < / T a r g e t A c c o u n t I D >  
             < C h a r t I D > 2 6 4 2 0 1 9 4 7 9 8 0 0 0 0 0 2 3 1 < / C h a r t I D >  
             < I s L i n k e d > f a l s e < / I s L i n k e d >  
             < N u m b e r > 0 1 0 3 0 1 3 0 0 0 0 2 < / N u m b e r >  
             < N a m e > P A K I S T A N   I N V E S T M E N T   B O N D S     A P P R E C I A T I O N   /   D I M I N U T I O N 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 2 6 4 2 0 1 9 4 7 9 8 0 0 0 0 0 3 0 5 < / I D >  
             < T a r g e t A c c o u n t I D > 2 6 4 2 0 1 9 4 7 9 8 0 0 0 0 0 4 3 7 < / T a r g e t A c c o u n t I D >  
             < C h a r t I D > 2 6 4 2 0 1 9 4 7 9 8 0 0 0 0 0 2 3 1 < / C h a r t I D >  
             < I s L i n k e d > f a l s e < / I s L i n k e d >  
             < N u m b e r > 0 1 0 3 0 1 3 0 0 0 0 3 < / N u m b e r >  
             < N a m e > P A K I S T A N   I N V E S T M E N T   B O N D S     D I S C O U N T   /   A M O R T I S A T I O N     A F S < / N a m e >  
             < A J E > 0 < / A J E >  
             < A d j u s t > 0 < / A d j u s t >  
             < R J E > 0 < / R J E >  
             < P r e l i m i n a r y > 0 < / P r e l i m i n a r y >  
             < F i n a l > 0 < / F i n a l >  
         < / A c c o u n t S t o r a g e >  
         < A c c o u n t S t o r a g e >  
             < A c c o u n t B a l a n c e s >  
                 < A c c o u n t B a l a n c e >  
                     < F i e l d N a m e > P r i o r P e r i o d 1 B a l a n c e < / F i e l d N a m e >  
                     < B a l a n c e > 4 0 2 < / B a l a n c e >  
                 < / A c c o u n t B a l a n c e >  
                 < A c c o u n t B a l a n c e >  
                     < F i e l d N a m e > P r i o r P e r i o d 2 B a l a n c e < / F i e l d N a m e >  
                     < B a l a n c e > 1 8 0 1 2 < / B a l a n c e >  
                 < / A c c o u n t B a l a n c e >  
                 < A c c o u n t B a l a n c e >  
                     < F i e l d N a m e > P r i o r P e r i o d 3 B a l a n c e < / F i e l d N a m e >  
                     < B a l a n c e > 1 7 4 5 9 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 2 6 4 2 0 1 9 4 7 9 8 0 0 0 0 0 5 2 1 < / I D >  
             < T a r g e t A c c o u n t I D > 2 6 4 2 0 1 9 4 7 9 8 0 0 0 0 0 3 0 6 < / T a r g e t A c c o u n t I D >  
             < C h a r t I D > 2 6 4 2 0 1 9 4 7 9 8 0 0 0 0 0 2 3 1 < / C h a r t I D >  
             < I s L i n k e d > f a l s e < / I s L i n k e d >  
             < N u m b e r > 0 1 0 3 0 0 1 0 0 0 0 1 < / N u m b e r >  
             < N a m e > I N V E S T M E N T   I N   E Q U I T Y   T R A N S A C T I O N     H F T < / N a m e >  
             < A J E > 0 < / A J E >  
             < A d j u s t > 4 0 2 < / A d j u s t >  
             < R J E > 0 < / R J E >  
             < P r e l i m i n a r y > 4 0 2 < / P r e l i m i n a r y >  
             < F i n a l > 4 0 2 < / F i n a l >  
         < / A c c o u n t S t o r a g e >  
         < A c c o u n t S t o r a g e >  
             < A c c o u n t B a l a n c e s >  
                 < A c c o u n t B a l a n c e >  
                     < F i e l d N a m e > P r i o r P e r i o d 1 B a l a n c e < / F i e l d N a m e >  
                     < B a l a n c e > - 4 0 2 < / B a l a n c e >  
                 < / A c c o u n t B a l a n c e >  
                 < A c c o u n t B a l a n c e >  
                     < F i e l d N a m e > P r i o r P e r i o d 2 B a l a n c e < / F i e l d N a m e >  
                     < B a l a n c e > - 2 4 8 1 < / B a l a n c e >  
                 < / A c c o u n t B a l a n c e >  
                 < A c c o u n t B a l a n c e >  
                     < F i e l d N a m e > P r i o r P e r i o d 3 B a l a n c e < / F i e l d N a m e >  
                     < B a l a n c e > - 4 0 2 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 2 6 4 2 0 1 9 4 7 9 8 0 0 0 0 0 5 2 2 < / I D >  
             < T a r g e t A c c o u n t I D > 2 6 4 2 0 1 9 4 7 9 8 0 0 0 0 0 3 0 6 < / T a r g e t A c c o u n t I D >  
             < C h a r t I D > 2 6 4 2 0 1 9 4 7 9 8 0 0 0 0 0 2 3 1 < / C h a r t I D >  
             < I s L i n k e d > f a l s e < / I s L i n k e d >  
             < N u m b e r > 0 1 0 3 0 0 1 0 0 0 0 2 < / N u m b e r >  
             < N a m e > E Q U I T Y   T R A N S A C T I O N     A P P R E C I A T I O N   /   D I M I N U T I O N     H F T < / N a m e >  
             < A J E > 0 < / A J E >  
             < A d j u s t > - 4 0 2 < / A d j u s t >  
             < R J E > 0 < / R J E >  
             < P r e l i m i n a r y > - 4 0 2 < / P r e l i m i n a r y >  
             < F i n a l > - 4 0 2 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 2 6 4 2 0 1 9 4 7 9 8 0 0 0 0 0 5 2 3 < / I D >  
             < T a r g e t A c c o u n t I D > 2 6 4 2 0 1 9 4 7 9 8 0 0 0 0 0 4 3 5 < / T a r g e t A c c o u n t I D >  
             < C h a r t I D > 2 6 4 2 0 1 9 4 7 9 8 0 0 0 0 0 2 3 1 < / C h a r t I D >  
             < I s L i n k e d > f a l s e < / I s L i n k e d >  
             < N u m b e r > 0 1 0 3 0 0 7 0 0 0 0 1 < / N u m b e r >  
             < N a m e > I N V E S T M E N T   I N   C O M M E R C I A L   P A P E R     F A C E   V A L U E 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 2 6 4 2 0 1 9 4 7 9 8 0 0 0 0 0 5 0 4 < / I D >  
             < T a r g e t A c c o u n t I D > 2 6 4 2 0 1 9 4 7 9 8 0 0 0 0 0 3 1 3 < / T a r g e t A c c o u n t I D >  
             < C h a r t I D > 2 6 4 2 0 1 9 4 7 9 8 0 0 0 0 0 2 3 1 < / C h a r t I D >  
             < I s L i n k e d > f a l s e < / I s L i n k e d >  
             < N u m b e r > 0 1 0 3 0 2 4 0 0 0 0 1 < / N u m b e r >  
             < N a m e > I N V E S T M E N T   I N   T E R M   D E P O S I T   R E C E I P T S 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 2 9 6 1 8 1 5 9 6 0 0 0 0 0 0 0 0 0 5 < / I D >  
             < T a r g e t A c c o u n t I D > 2 6 4 2 0 1 9 4 7 9 8 0 0 0 0 0 3 1 4 < / T a r g e t A c c o u n t I D >  
             < C h a r t I D > 2 6 4 2 0 1 9 4 7 9 8 0 0 0 0 0 2 3 1 < / C h a r t I D >  
             < I s L i n k e d > f a l s e < / I s L i n k e d >  
             < N u m b e r > 0 1 0 3 0 1 0 0 0 0 0 1 < / N u m b e r >  
             < N a m e > I N V E S T M E N T   I N   E Q Y U I T Y   T R A N S A C T I O N 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 2 6 4 2 0 1 9 4 7 9 8 0 0 0 0 0 5 7 4 < / I D >  
             < T a r g e t A c c o u n t I D > 2 6 4 2 0 1 9 4 7 9 8 0 0 0 0 0 3 1 4 < / T a r g e t A c c o u n t I D >  
             < C h a r t I D > 2 6 4 2 0 1 9 4 7 9 8 0 0 0 0 0 2 3 1 < / C h a r t I D >  
             < I s L i n k e d > f a l s e < / I s L i n k e d >  
             < N u m b e r > 0 1 0 3 0 2 9 0 0 0 0 1 < / N u m b e r >  
             < N a m e > F A I R   V A L U E   O F   D E R I V A T I V E   O F   F U T U R E   T R A N S A C T I O N < / 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 2 6 4 2 0 1 9 4 7 9 8 0 0 0 0 0 5 3 2 < / I D >  
             < T a r g e t A c c o u n t I D > 2 6 4 2 0 1 9 4 7 9 8 0 0 0 0 0 4 1 0 < / T a r g e t A c c o u n t I D >  
             < C h a r t I D > 2 6 4 2 0 1 9 4 7 9 8 0 0 0 0 0 2 3 1 < / C h a r t I D >  
             < I s L i n k e d > f a l s e < / I s L i n k e d >  
             < N u m b e r > 0 1 0 6 0 2 1 0 0 0 0 1 < / N u m b e r >  
             < N a m e > D I V I D E N D   R E C E I V A B L E S     E Q U I T Y   I N V E S T M E N T S < / N a m e >  
             < A J E > 0 < / A J E >  
             < A d j u s t > 0 < / A d j u s t >  
             < R J E > 0 < / R J E >  
             < P r e l i m i n a r y > 0 < / P r e l i m i n a r y >  
             < F i n a l > 0 < / F i n a l >  
         < / A c c o u n t S t o r a g e >  
         < A c c o u n t S t o r a g e >  
             < A c c o u n t B a l a n c e s >  
                 < A c c o u n t B a l a n c e >  
                     < F i e l d N a m e > P r i o r P e r i o d 1 B a l a n c e < / F i e l d N a m e >  
                     < B a l a n c e > 2 3 9 < / B a l a n c e >  
                 < / A c c o u n t B a l a n c e >  
                 < A c c o u n t B a l a n c e >  
                     < F i e l d N a m e > P r i o r P e r i o d 2 B a l a n c e < / F i e l d N a m e >  
                     < B a l a n c e > 1 9 5 < / B a l a n c e >  
                 < / A c c o u n t B a l a n c e >  
                 < A c c o u n t B a l a n c e >  
                     < F i e l d N a m e > P r i o r P e r i o d 3 B a l a n c e < / F i e l d N a m e >  
                     < B a l a n c e > 2 6 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 2 6 4 2 0 1 9 4 7 9 8 0 0 0 0 0 5 2 5 < / I D >  
             < T a r g e t A c c o u n t I D > 2 6 4 2 0 1 9 4 7 9 8 0 0 0 0 0 4 4 7 < / T a r g e t A c c o u n t I D >  
             < C h a r t I D > 2 6 4 2 0 1 9 4 7 9 8 0 0 0 0 0 2 3 1 < / C h a r t I D >  
             < I s L i n k e d > f a l s e < / I s L i n k e d >  
             < N u m b e r > 0 1 0 6 0 1 1 0 0 0 0 1 < / N u m b e r >  
             < N a m e > P R O F I T   R E C E I V A B L E   -   A L L I E D   B A N K   L I M I T E D   -   F O R E I G N   E X C H A N G E   B R A N C H < / N a m e >  
             < A J E > 0 < / A J E >  
             < A d j u s t > 2 5 8 < / A d j u s t >  
             < R J E > 0 < / R J E >  
             < P r e l i m i n a r y > 2 5 8 < / P r e l i m i n a r y >  
             < F i n a l > 2 5 8 < / F i n a l >  
         < / A c c o u n t S t o r a g e >  
         < A c c o u n t S t o r a g e >  
             < A c c o u n t B a l a n c e s >  
                 < A c c o u n t B a l a n c e >  
                     < F i e l d N a m e > P r i o r P e r i o d 1 B a l a n c e < / F i e l d N a m e >  
                     < B a l a n c e > 6 6 < / B a l a n c e >  
                 < / A c c o u n t B a l a n c e >  
                 < A c c o u n t B a l a n c e >  
                     < F i e l d N a m e > P r i o r P e r i o d 2 B a l a n c e < / F i e l d N a m e >  
                     < B a l a n c e > 2 1 < / B a l a n c e >  
                 < / A c c o u n t B a l a n c e >  
                 < A c c o u n t B a l a n c e >  
                     < F i e l d N a m e > P r i o r P e r i o d 3 B a l a n c e < / F i e l d N a m e >  
                     < B a l a n c e > 1 0 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 2 6 4 2 0 1 9 4 7 9 8 0 0 0 0 0 3 2 9 < / I D >  
             < T a r g e t A c c o u n t I D > 2 6 4 2 0 1 9 4 7 9 8 0 0 0 0 0 4 4 7 < / T a r g e t A c c o u n t I D >  
             < C h a r t I D > 2 6 4 2 0 1 9 4 7 9 8 0 0 0 0 0 2 3 1 < / C h a r t I D >  
             < I s L i n k e d > f a l s e < / I s L i n k e d >  
             < N u m b e r > 0 1 0 6 0 1 1 0 0 0 0 5 < / N u m b e r >  
             < N a m e > P R O F I T   R E C E I V A B L E   -   B A N K   A L   F A L A H   L I M I T E D     -   K S E   B R A N C H < / N a m e >  
             < A J E > 0 < / A J E >  
             < A d j u s t > 2 4 < / A d j u s t >  
             < R J E > 0 < / R J E >  
             < P r e l i m i n a r y > 2 4 < / P r e l i m i n a r y >  
             < F i n a l > 2 4 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 2 6 4 2 0 1 9 4 7 9 8 0 0 0 0 0 3 3 4 < / I D >  
             < T a r g e t A c c o u n t I D > 2 6 4 2 0 1 9 4 7 9 8 0 0 0 0 0 4 4 7 < / T a r g e t A c c o u n t I D >  
             < C h a r t I D > 2 6 4 2 0 1 9 4 7 9 8 0 0 0 0 0 2 3 1 < / C h a r t I D >  
             < I s L i n k e d > f a l s e < / I s L i n k e d >  
             < N u m b e r > 0 1 0 6 0 1 1 0 0 0 1 1 < / N u m b e r >  
             < N a m e > P R O F I T   R E C E I V A B L E   -   F A Y S A L   B A N K   L I M I T E D   -   G U L S H A N   E   I Q B A L   B R A N C H < / N a m e >  
             < A J E > 0 < / A J E >  
             < A d j u s t > 0 < / A d j u s t >  
             < R J E > 0 < / R J E >  
             < P r e l i m i n a r y > 0 < / P r e l i m i n a r y >  
             < F i n a l > 0 < / F i n a l >  
         < / A c c o u n t S t o r a g e >  
         < A c c o u n t S t o r a g e >  
             < A c c o u n t B a l a n c e s >  
                 < A c c o u n t B a l a n c e >  
                     < F i e l d N a m e > P r i o r P e r i o d 1 B a l a n c e < / F i e l d N a m e >  
                     < B a l a n c e > 2 3 < / B a l a n c e >  
                 < / A c c o u n t B a l a n c e >  
                 < A c c o u n t B a l a n c e >  
                     < F i e l d N a m e > P r i o r P e r i o d 2 B a l a n c e < / F i e l d N a m e >  
                     < B a l a n c e > 0 < / B a l a n c e >  
                 < / A c c o u n t B a l a n c e >  
                 < A c c o u n t B a l a n c e >  
                     < F i e l d N a m e > P r i o r P e r i o d 3 B a l a n c e < / F i e l d N a m e >  
                     < B a l a n c e > 1 6 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 2 6 4 2 0 1 9 4 7 9 8 0 0 0 0 0 3 3 6 < / I D >  
             < T a r g e t A c c o u n t I D > 2 6 4 2 0 1 9 4 7 9 8 0 0 0 0 0 4 4 7 < / T a r g e t A c c o u n t I D >  
             < C h a r t I D > 2 6 4 2 0 1 9 4 7 9 8 0 0 0 0 0 2 3 1 < / C h a r t I D >  
             < I s L i n k e d > f a l s e < / I s L i n k e d >  
             < N u m b e r > 0 1 0 6 0 1 1 0 0 0 1 4 < / N u m b e r >  
             < N a m e > P R O F I T   R E C E I V A B L E   -   H A B I B   M E T R O P O L I T A N   B A N K   L I M I T E D   -   K A R A C H I   S T O C K   E X C H A N G E   B R A N C H < / N a m e >  
             < A J E > 0 < / A J E >  
             < A d j u s t > 2 8 < / A d j u s t >  
             < R J E > 0 < / R J E >  
             < P r e l i m i n a r y > 2 8 < / P r e l i m i n a r y >  
             < F i n a l > 2 8 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 2 6 4 2 0 1 9 4 7 9 8 0 0 0 0 0 3 4 0 < / I D >  
             < T a r g e t A c c o u n t I D > 2 6 4 2 0 1 9 4 7 9 8 0 0 0 0 0 4 4 7 < / T a r g e t A c c o u n t I D >  
             < C h a r t I D > 2 6 4 2 0 1 9 4 7 9 8 0 0 0 0 0 2 3 1 < / C h a r t I D >  
             < I s L i n k e d > f a l s e < / I s L i n k e d >  
             < N u m b e r > 0 1 0 6 0 1 1 0 0 0 1 5 < / N u m b e r >  
             < N a m e > P R O F I T   R E C E I V A B L E   -   H A B I B   M E T R O P O L I T A N 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 2 6 4 2 0 1 9 4 7 9 8 0 0 0 0 0 3 4 1 < / I D >  
             < T a r g e t A c c o u n t I D > 2 6 4 2 0 1 9 4 7 9 8 0 0 0 0 0 4 4 7 < / T a r g e t A c c o u n t I D >  
             < C h a r t I D > 2 6 4 2 0 1 9 4 7 9 8 0 0 0 0 0 2 3 1 < / C h a r t I D >  
             < I s L i n k e d > f a l s e < / I s L i n k e d >  
             < N u m b e r > 0 1 0 6 0 1 1 0 0 0 1 7 < / N u m b e r >  
             < N a m e > P R O F I T   R E C E I V A B L E   -   M C B   B A N K   L I M I T E D   -   U N I   T O W E R 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 2 9 6 1 8 1 5 9 6 0 0 0 0 0 0 0 0 0 6 < / I D >  
             < T a r g e t A c c o u n t I D > 2 6 4 2 0 1 9 4 7 9 8 0 0 0 0 0 4 4 7 < / T a r g e t A c c o u n t I D >  
             < C h a r t I D > 2 6 4 2 0 1 9 4 7 9 8 0 0 0 0 0 2 3 1 < / C h a r t I D >  
             < I s L i n k e d > f a l s e < / I s L i n k e d >  
             < N u m b e r > 0 1 0 6 0 1 1 0 0 0 2 1 < / N u m b e r >  
             < N a m e > P R O F I T   R E C E I V A B L E   -   M C B   B A N K   L I M I T E D   -   S H A H E E N   C O M P L E X 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 2 6 4 2 0 1 9 4 7 9 8 0 0 0 0 0 3 4 6 < / I D >  
             < T a r g e t A c c o u n t I D > 2 6 4 2 0 1 9 4 7 9 8 0 0 0 0 0 4 4 7 < / T a r g e t A c c o u n t I D >  
             < C h a r t I D > 2 6 4 2 0 1 9 4 7 9 8 0 0 0 0 0 2 3 1 < / C h a r t I D >  
             < I s L i n k e d > f a l s e < / I s L i n k e d >  
             < N u m b e r > 0 1 0 6 0 1 1 0 0 0 2 7 < / N u m b e r >  
             < N a m e > P R O F I T   R E C E I V A B L E 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 2 6 4 2 0 1 9 4 7 9 8 0 0 0 0 0 5 2 6 < / I D >  
             < T a r g e t A c c o u n t I D > 2 6 4 2 0 1 9 4 7 9 8 0 0 0 0 0 4 4 7 < / T a r g e t A c c o u n t I D >  
             < C h a r t I D > 2 6 4 2 0 1 9 4 7 9 8 0 0 0 0 0 2 3 1 < / C h a r t I D >  
             < I s L i n k e d > f a l s e < / I s L i n k e d >  
             < N u m b e r > 0 1 0 6 0 1 1 0 0 0 7 2 < / N u m b e r >  
             < N a m e > P r o f i t   R e c e i v a b l e   -   Z a r a i   T a r a q i a t i   B a n k   L i m i t e d   -   S h a f i   C o u r t   B r a n c h < / N a m e >  
             < A J E > 0 < / A J E >  
             < A d j u s t > 0 < / A d j u s t >  
             < R J E > 0 < / R J E >  
             < P r e l i m i n a r y > 0 < / P r e l i m i n a r y >  
             < F i n a l > 0 < / F i n a l >  
         < / A c c o u n t S t o r a g e >  
         < A c c o u n t S t o r a g e >  
             < A c c o u n t B a l a n c e s >  
                 < A c c o u n t B a l a n c e >  
                     < F i e l d N a m e > P r i o r P e r i o d 1 B a l a n c e < / F i e l d N a m e >  
                     < B a l a n c e > 1 0 2 < / B a l a n c e >  
                 < / A c c o u n t B a l a n c e >  
                 < A c c o u n t B a l a n c e >  
                     < F i e l d N a m e > P r i o r P e r i o d 2 B a l a n c e < / F i e l d N a m e >  
                     < B a l a n c e > 8 4 1 < / B a l a n c e >  
                 < / A c c o u n t B a l a n c e >  
                 < A c c o u n t B a l a n c e >  
                     < F i e l d N a m e > P r i o r P e r i o d 3 B a l a n c e < / F i e l d N a m e >  
                     < B a l a n c e > 2 2 4 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 2 9 6 1 8 1 5 9 6 0 0 0 0 0 0 0 0 0 7 < / I D >  
             < T a r g e t A c c o u n t I D > 2 6 4 2 0 1 9 4 7 9 8 0 0 0 0 0 4 4 7 < / T a r g e t A c c o u n t I D >  
             < C h a r t I D > 2 6 4 2 0 1 9 4 7 9 8 0 0 0 0 0 2 3 1 < / C h a r t I D >  
             < I s L i n k e d > f a l s e < / I s L i n k e d >  
             < N u m b e r > 0 1 0 6 0 1 1 0 0 0 7 5 < / N u m b e r >  
             < N a m e > P r o f i t   R e c e i v a b l e   -   J s   B a n k   L i m i t e d   -   O c e a n   T o w e r ,   C l i f t o n   B r a n c h < / N a m e >  
             < A J E > 0 < / A J E >  
             < A d j u s t > 8 < / A d j u s t >  
             < R J E > 0 < / R J E >  
             < P r e l i m i n a r y > 8 < / P r e l i m i n a r y >  
             < F i n a l > 8 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 2 6 4 2 0 1 9 4 7 9 8 0 0 0 0 0 5 2 7 < / I D >  
             < T a r g e t A c c o u n t I D > 2 6 4 2 0 1 9 4 7 9 8 0 0 0 0 0 4 4 7 < / T a r g e t A c c o u n t I D >  
             < C h a r t I D > 2 6 4 2 0 1 9 4 7 9 8 0 0 0 0 0 2 3 1 < / C h a r t I D >  
             < I s L i n k e d > f a l s e < / I s L i n k e d >  
             < N u m b e r > 0 1 0 6 0 1 1 0 0 0 7 7 < / N u m b e r >  
             < N a m e > P r o f i t   R e c e i v a b l e   -   N r s p 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 2 6 4 2 0 1 9 4 7 9 8 0 0 0 0 0 5 2 8 < / I D >  
             < T a r g e t A c c o u n t I D > 2 6 4 2 0 1 9 4 7 9 8 0 0 0 0 0 4 4 7 < / T a r g e t A c c o u n t I D >  
             < C h a r t I D > 2 6 4 2 0 1 9 4 7 9 8 0 0 0 0 0 2 3 1 < / C h a r t I D >  
             < I s L i n k e d > f a l s e < / I s L i n k e d >  
             < N u m b e r > 0 1 0 6 0 1 1 0 0 0 7 9 < / N u m b e r >  
             < N a m e > P r o f i t   R e c e i v a b l e 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 2 6 4 2 0 1 9 4 7 9 8 0 0 0 0 0 5 2 9 < / I D >  
             < T a r g e t A c c o u n t I D > 2 6 4 2 0 1 9 4 7 9 8 0 0 0 0 0 4 4 7 < / T a r g e t A c c o u n t I D >  
             < C h a r t I D > 2 6 4 2 0 1 9 4 7 9 8 0 0 0 0 0 2 3 1 < / C h a r t I D >  
             < I s L i n k e d > f a l s e < / I s L i n k e d >  
             < N u m b e r > 0 1 0 6 0 1 1 0 0 0 8 0 < / N u m b e r >  
             < N a m e > P r o f i t   R e c e i v a b l e 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 5 0 7 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 2 6 4 2 0 1 9 4 7 9 8 0 0 0 0 0 5 8 3 < / I D >  
             < T a r g e t A c c o u n t I D > 2 6 4 2 0 1 9 4 7 9 8 0 0 0 0 0 4 4 7 < / T a r g e t A c c o u n t I D >  
             < C h a r t I D > 2 6 4 2 0 1 9 4 7 9 8 0 0 0 0 0 2 3 1 < / C h a r t I D >  
             < I s L i n k e d > f a l s e < / I s L i n k e d >  
             < N u m b e r > 0 1 0 6 0 1 1 0 0 0 8 2 < / N u m b e r >  
             < N a m e > P r o f i t   R e c e i v a b l e   -   T a m e e r 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 3 1 0 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 2 6 4 2 0 1 9 4 7 9 8 0 0 0 0 0 5 8 4 < / I D >  
             < T a r g e t A c c o u n t I D > 2 6 4 2 0 1 9 4 7 9 8 0 0 0 0 0 4 4 7 < / T a r g e t A c c o u n t I D >  
             < C h a r t I D > 2 6 4 2 0 1 9 4 7 9 8 0 0 0 0 0 2 3 1 < / C h a r t I D >  
             < I s L i n k e d > f a l s e < / I s L i n k e d >  
             < N u m b e r > 0 1 0 6 0 1 1 0 0 0 9 2 < / N u m b e r >  
             < N a m e > P r o f i t   R e c e i v a b l e   -   F i r s t   M i c r o   F i n a n c e   B a n k   -   C l i f t o n   B r a n c h < / N a m e >  
             < A J E > 0 < / A J E >  
             < A d j u s t > 0 < / A d j u s t >  
             < R J E > 0 < / R J E >  
             < P r e l i m i n a r y > 0 < / P r e l i m i n a r y >  
             < F i n a l > 0 < / F i n a l >  
         < / A c c o u n t S t o r a g e >  
         < A c c o u n t S t o r a g e >  
             < A c c o u n t B a l a n c e s >  
                 < A c c o u n t B a l a n c e >  
                     < F i e l d N a m e > P r i o r P e r i o d 1 B a l a n c e < / F i e l d N a m e >  
                     < B a l a n c e > 2 2 1 < / B a l a n c e >  
                 < / A c c o u n t B a l a n c e >  
                 < A c c o u n t B a l a n c e >  
                     < F i e l d N a m e > P r i o r P e r i o d 2 B a l a n c e < / F i e l d N a m e >  
                     < B a l a n c e > 2 9 3 < / B a l a n c e >  
                 < / A c c o u n t B a l a n c e >  
                 < A c c o u n t B a l a n c e >  
                     < F i e l d N a m e > P r i o r P e r i o d 3 B a l a n c e < / F i e l d N a m e >  
                     < B a l a n c e > 9 0 2 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 2 9 6 1 8 1 5 9 6 0 0 0 0 0 0 0 0 0 8 < / I D >  
             < T a r g e t A c c o u n t I D > 2 6 4 2 0 1 9 4 7 9 8 0 0 0 0 0 4 4 7 < / T a r g e t A c c o u n t I D >  
             < C h a r t I D > 2 6 4 2 0 1 9 4 7 9 8 0 0 0 0 0 2 3 1 < / C h a r t I D >  
             < I s L i n k e d > f a l s e < / I s L i n k e d >  
             < N u m b e r > 0 1 0 6 0 1 1 0 0 0 9 8 < / N u m b e r >  
             < N a m e > P r o f i t   R e c e i v a b l e   -   S i l k   B a n k   L i m i t e d   -   M a i n   B r a n c h < / N a m e >  
             < A J E > 0 < / A J E >  
             < A d j u s t > 7 8 < / A d j u s t >  
             < R J E > 0 < / R J E >  
             < P r e l i m i n a r y > 7 8 < / P r e l i m i n a r y >  
             < F i n a l > 7 8 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 2 6 4 2 0 1 9 4 7 9 8 0 0 0 0 0 5 3 0 < / I D >  
             < T a r g e t A c c o u n t I D > 2 6 4 2 0 1 9 4 7 9 8 0 0 0 0 0 4 4 7 < / T a r g e t A c c o u n t I D >  
             < C h a r t I D > 2 6 4 2 0 1 9 4 7 9 8 0 0 0 0 0 2 3 1 < / C h a r t I D >  
             < I s L i n k e d > f a l s e < / I s L i n k e d >  
             < N u m b e r > 0 1 0 6 0 1 1 0 0 7 5 < / N u m b e r >  
             < N a m e > P r o f i t   R e c e i v a b l e   -   J s   B a n k   L i m i t e d   -   O c e a n   T o w e r ,   C l i f t o n 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 2 6 4 2 0 1 9 4 7 9 8 0 0 0 0 0 3 5 3 < / I D >  
             < T a r g e t A c c o u n t I D > 2 6 4 2 0 1 9 4 7 9 8 0 0 0 0 0 4 4 7 < / T a r g e t A c c o u n t I D >  
             < C h a r t I D > 2 6 4 2 0 1 9 4 7 9 8 0 0 0 0 0 2 3 1 < / C h a r t I D >  
             < I s L i n k e d > f a l s e < / I s L i n k e d >  
             < N u m b e r > 0 1 0 6 0 1 3 0 0 0 0 1 < / N u m b e r >  
             < N a m e > A C C R U E D   P R O F I T   O N   T E R M   F I N A N C E   C E R T I F I C A T E S     P R E   I P O < / 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 2 6 4 2 0 1 9 4 7 9 8 0 0 0 0 0 5 3 1 < / I D >  
             < T a r g e t A c c o u n t I D > 2 6 4 2 0 1 9 4 7 9 8 0 0 0 0 0 4 4 7 < / T a r g e t A c c o u n t I D >  
             < C h a r t I D > 2 6 4 2 0 1 9 4 7 9 8 0 0 0 0 0 2 3 1 < / C h a r t I D >  
             < I s L i n k e d > f a l s e < / I s L i n k e d >  
             < N u m b e r > 0 1 0 6 0 1 5 0 0 0 0 1 < / N u m b e r >  
             < N a m e > A C C R U E D   P R O F I T   O N   S U K K U K     P R E   I P O < / 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 2 6 4 2 0 1 9 4 7 9 8 0 0 0 0 0 3 1 1 < / I D >  
             < T a r g e t A c c o u n t I D > 2 6 4 2 0 1 9 4 7 9 8 0 0 0 0 0 4 4 6 < / T a r g e t A c c o u n t I D >  
             < C h a r t I D > 2 6 4 2 0 1 9 4 7 9 8 0 0 0 0 0 2 3 1 < / C h a r t I D >  
             < I s L i n k e d > f a l s e < / I s L i n k e d >  
             < N u m b e r > 0 1 0 6 0 0 2 0 0 0 0 1 < / N u m b e r >  
             < N a m e > R E C E I V A B L E   A G A I N S T   R E D E M P T I O N   O F   D E B T   S E C U R I T I E S     M A R K U P < / 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 2 6 4 2 0 1 9 4 7 9 8 0 0 0 0 0 3 2 4 < / I D >  
             < T a r g e t A c c o u n t I D > 2 6 4 2 0 1 9 4 7 9 8 0 0 0 0 0 4 4 6 < / T a r g e t A c c o u n t I D >  
             < C h a r t I D > 2 6 4 2 0 1 9 4 7 9 8 0 0 0 0 0 2 3 1 < / C h a r t I D >  
             < I s L i n k e d > f a l s e < / I s L i n k e d >  
             < N u m b e r > 0 1 0 6 0 0 4 0 0 0 0 1 < / N u m b e r >  
             < N a m e > P R O V I S I O N   A G A I N S T   R E D E M P T I O N   O F   D E B T   S E C U R I T I E S     M A R K U P < / N a m e >  
             < A J E > 0 < / A J E >  
             < A d j u s t > 0 < / A d j u s t >  
             < R J E > 0 < / R J E >  
             < P r e l i m i n a r y > 0 < / P r e l i m i n a r y >  
             < F i n a l > 0 < / F i n a l >  
         < / A c c o u n t S t o r a g e >  
         < A c c o u n t S t o r a g e >  
             < A c c o u n t B a l a n c e s >  
                 < A c c o u n t B a l a n c e >  
                     < F i e l d N a m e > P r i o r P e r i o d 1 B a l a n c e < / F i e l d N a m e >  
                     < B a l a n c e > 1 1 1 0 < / B a l a n c e >  
                 < / A c c o u n t B a l a n c e >  
                 < A c c o u n t B a l a n c e >  
                     < F i e l d N a m e > P r i o r P e r i o d 2 B a l a n c e < / F i e l d N a m e >  
                     < B a l a n c e > 1 0 1 5 < / B a l a n c e >  
                 < / A c c o u n t B a l a n c e >  
                 < A c c o u n t B a l a n c e >  
                     < F i e l d N a m e > P r i o r P e r i o d 3 B a l a n c e < / F i e l d N a m e >  
                     < B a l a n c e > 3 5 4 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 2 6 4 2 0 1 9 4 7 9 8 0 0 0 0 0 3 4 7 < / I D >  
             < T a r g e t A c c o u n t I D > 2 6 4 2 0 1 9 4 7 9 8 0 0 0 0 0 4 4 6 < / T a r g e t A c c o u n t I D >  
             < C h a r t I D > 2 6 4 2 0 1 9 4 7 9 8 0 0 0 0 0 2 3 1 < / C h a r t I D >  
             < I s L i n k e d > f a l s e < / I s L i n k e d >  
             < N u m b e r > 0 1 0 6 0 1 2 0 0 0 0 1 < / N u m b e r >  
             < N a m e > A C C R U E D   P R O F I T   O N   T F C < / N a m e >  
             < A J E > 0 < / A J E >  
             < A d j u s t > 7 7 9 < / A d j u s t >  
             < R J E > 0 < / R J E >  
             < P r e l i m i n a r y > 7 7 9 < / P r e l i m i n a r y >  
             < F i n a l > 7 7 9 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 2 6 4 2 0 1 9 4 7 9 8 0 0 0 0 0 3 5 1 < / I D >  
             < T a r g e t A c c o u n t I D > 2 6 4 2 0 1 9 4 7 9 8 0 0 0 0 0 4 4 6 < / T a r g e t A c c o u n t I D >  
             < C h a r t I D > 2 6 4 2 0 1 9 4 7 9 8 0 0 0 0 0 2 3 1 < / C h a r t I D >  
             < I s L i n k e d > f a l s e < / I s L i n k e d >  
             < N u m b e r > 0 1 0 6 0 1 2 0 0 0 0 2 < / N u m b e r >  
             < N a m e > A C C R U E D   P R O F I T   O N   T F C < / 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 2 6 4 2 0 1 9 4 7 9 8 0 0 0 0 0 3 5 8 < / I D >  
             < T a r g e t A c c o u n t I D > 2 6 4 2 0 1 9 4 7 9 8 0 0 0 0 0 4 4 3 < / T a r g e t A c c o u n t I D >  
             < C h a r t I D > 2 6 4 2 0 1 9 4 7 9 8 0 0 0 0 0 2 3 1 < / C h a r t I D >  
             < I s L i n k e d > f a l s e < / I s L i n k e d >  
             < N u m b e r > 0 1 0 6 0 1 6 0 0 0 0 1 < / N u m b e r >  
             < N a m e > A C C R U E D   P R O F I T   O N   G O V T   S E C T Y     P I B < / 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 2 6 4 2 0 1 9 4 7 9 8 0 0 0 0 0 3 2 8 < / I D >  
             < T a r g e t A c c o u n t I D > 2 6 4 2 0 1 9 4 7 9 8 0 0 0 0 0 4 4 2 < / T a r g e t A c c o u n t I D >  
             < C h a r t I D > 2 6 4 2 0 1 9 4 7 9 8 0 0 0 0 0 2 3 1 < / C h a r t I D >  
             < I s L i n k e d > f a l s e < / I s L i n k e d >  
             < N u m b e r > 0 1 0 6 0 0 5 0 0 0 0 1 < / N u m b e r >  
             < N a m e > P R O F I T   O N   P L A C E M E N T 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 2 6 4 2 0 1 9 4 7 9 8 0 0 0 0 0 5 3 8 < / I D >  
             < T a r g e t A c c o u n t I D > 2 6 4 2 0 1 9 4 7 9 8 0 0 0 0 0 4 2 4 < / T a r g e t A c c o u n t I D >  
             < C h a r t I D > 2 6 4 2 0 1 9 4 7 9 8 0 0 0 0 0 2 3 1 < / C h a r t I D >  
             < I s L i n k e d > f a l s e < / I s L i n k e d >  
             < N u m b e r > 0 1 1 1 0 0 9 0 0 0 9 < / N u m b e r >  
             < N a m e > R e c i e v a b l e   O f   I n c o m e   A g a i n s t   M t s 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 2 6 4 2 0 1 9 4 7 9 8 0 0 0 0 0 5 0 0 < / I D >  
             < T a r g e t A c c o u n t I D > 2 6 4 2 0 1 9 4 7 9 8 0 0 0 0 0 3 8 1 < / T a r g e t A c c o u n t I D >  
             < C h a r t I D > 2 6 4 2 0 1 9 4 7 9 8 0 0 0 0 0 2 3 1 < / C h a r t I D >  
             < I s L i n k e d > f a l s e < / I s L i n k e d >  
             < N u m b e r > 0 1 0 7 0 0 2 0 0 0 0 1 < / N u m b e r >  
             < N a m e > A D V A N C E S   A G A I N S T   I P O   S U B S C R I P T I O N   D E B T   S E C U R I T Y < / 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 - 1 1 0 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 2 6 4 2 0 1 9 4 7 9 8 0 0 0 0 0 3 7 6 < / I D >  
             < T a r g e t A c c o u n t I D > 2 6 4 2 0 1 9 4 7 9 8 0 0 0 0 0 3 8 1 < / T a r g e t A c c o u n t I D >  
             < C h a r t I D > 2 6 4 2 0 1 9 4 7 9 8 0 0 0 0 0 2 3 1 < / C h a r t I D >  
             < I s L i n k e d > f a l s e < / I s L i n k e d >  
             < N u m b e r > 0 1 0 7 0 0 7 0 0 0 0 5 < / N u m b e r >  
             < N a m e > P R E P A Y M E N T   O F   P A C R A   A G A I N S T   A N N U A L   P A C R A   R A T I N G 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 2 6 4 2 0 1 9 4 7 9 8 0 0 0 0 0 5 0 1 < / I D >  
             < T a r g e t A c c o u n t I D > 2 6 4 2 0 1 9 4 7 9 8 0 0 0 0 0 3 8 1 < / T a r g e t A c c o u n t I D >  
             < C h a r t I D > 2 6 4 2 0 1 9 4 7 9 8 0 0 0 0 0 2 3 1 < / C h a r t I D >  
             < I s L i n k e d > f a l s e < / I s L i n k e d >  
             < N u m b e r > 0 1 0 7 0 0 7 0 0 0 0 7 < / N u m b e r >  
             < N a m e > P r e p a y m e n t   O f   I s e 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 2 9 6 1 8 1 5 9 6 0 0 0 0 0 0 0 0 2 4 < / I D >  
             < T a r g e t A c c o u n t I D > 2 6 4 2 0 1 9 4 7 9 8 0 0 0 0 0 3 8 1 < / T a r g e t A c c o u n t I D >  
             < C h a r t I D > 2 6 4 2 0 1 9 4 7 9 8 0 0 0 0 0 2 3 1 < / C h a r t I D >  
             < I s L i n k e d > f a l s e < / I s L i n k e d >  
             < N u m b e r > 0 1 0 7 0 0 7 0 0 0 0 8 < / N u m b e r >  
             < N a m e > P r e p a y m e n t   O f   L e g a l   C h a r g e s < / N a m e >  
             < A J E > 0 < / A J E >  
             < A d j u s t > 0 < / A d j u s t >  
             < R J E > 0 < / R J E >  
             < P r e l i m i n a r y > 0 < / P r e l i m i n a r y >  
             < F i n a l > 0 < / F i n a l >  
         < / A c c o u n t S t o r a g e >  
         < A c c o u n t S t o r a g e >  
             < A c c o u n t B a l a n c e s >  
                 < A c c o u n t B a l a n c e >  
                     < F i e l d N a m e > P r i o r P e r i o d 1 B a l a n c e < / F i e l d N a m e >  
                     < B a l a n c e > 8 3 9 < / B a l a n c e >  
                 < / A c c o u n t B a l a n c e >  
                 < A c c o u n t B a l a n c e >  
                     < F i e l d N a m e > P r i o r P e r i o d 2 B a l a n c e < / F i e l d N a m e >  
                     < B a l a n c e > 8 3 3 < / B a l a n c e >  
                 < / A c c o u n t B a l a n c e >  
                 < A c c o u n t B a l a n c e >  
                     < F i e l d N a m e > P r i o r P e r i o d 3 B a l a n c e < / F i e l d N a m e >  
                     < B a l a n c e > 8 3 3 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 2 6 4 2 0 1 9 4 7 9 8 0 0 0 0 0 3 6 1 < / I D >  
             < T a r g e t A c c o u n t I D > 2 6 4 2 0 1 9 4 7 9 8 0 0 0 0 0 3 8 4 < / T a r g e t A c c o u n t I D >  
             < C h a r t I D > 2 6 4 2 0 1 9 4 7 9 8 0 0 0 0 0 2 3 1 < / C h a r t I D >  
             < I s L i n k e d > f a l s e < / I s L i n k e d >  
             < N u m b e r > 0 1 0 7 0 0 3 0 0 0 0 1 < / N u m b e r >  
             < N a m e > A D V A N C E S   A G A I N S T   T A X   D E D U C T E D   A G A I N S T   B A N K   P R O F I T < / N a m e >  
             < A J E > 0 < / A J E >  
             < A d j u s t > 8 5 7 < / A d j u s t >  
             < R J E > 0 < / R J E >  
             < P r e l i m i n a r y > 8 5 7 < / P r e l i m i n a r y >  
             < F i n a l > 8 5 7 < / F i n a l >  
         < / A c c o u n t S t o r a g e >  
         < A c c o u n t S t o r a g e >  
             < A c c o u n t B a l a n c e s >  
                 < A c c o u n t B a l a n c e >  
                     < F i e l d N a m e > P r i o r P e r i o d 1 B a l a n c e < / F i e l d N a m e >  
                     < B a l a n c e > 4 9 2 < / B a l a n c e >  
                 < / A c c o u n t B a l a n c e >  
                 < A c c o u n t B a l a n c e >  
                     < F i e l d N a m e > P r i o r P e r i o d 2 B a l a n c e < / F i e l d N a m e >  
                     < B a l a n c e > 4 9 2 < / B a l a n c e >  
                 < / A c c o u n t B a l a n c e >  
                 < A c c o u n t B a l a n c e >  
                     < F i e l d N a m e > P r i o r P e r i o d 3 B a l a n c e < / F i e l d N a m e >  
                     < B a l a n c e > 4 6 1 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 2 9 6 1 8 1 5 9 6 0 0 0 0 0 0 0 0 0 9 < / I D >  
             < T a r g e t A c c o u n t I D > 2 6 4 2 0 1 9 4 7 9 8 0 0 0 0 0 3 8 4 < / T a r g e t A c c o u n t I D >  
             < C h a r t I D > 2 6 4 2 0 1 9 4 7 9 8 0 0 0 0 0 2 3 1 < / C h a r t I D >  
             < I s L i n k e d > f a l s e < / I s L i n k e d >  
             < N u m b e r > 0 1 0 7 0 0 4 0 0 0 0 1 < / N u m b e r >  
             < N a m e > A D V A N C E S   A G A I N S T   T A X   D E D U C T E D   A G A I N S T   D I V I D E N D   I N C O M E < / N a m e >  
             < A J E > 0 < / A J E >  
             < A d j u s t > 4 9 2 < / A d j u s t >  
             < R J E > 0 < / R J E >  
             < P r e l i m i n a r y > 4 9 2 < / P r e l i m i n a r y >  
             < F i n a l > 4 9 2 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 2 6 4 2 0 1 9 4 7 9 8 0 0 0 0 0 3 6 2 < / I D >  
             < T a r g e t A c c o u n t I D > 2 6 4 2 0 1 9 4 7 9 8 0 0 0 0 0 3 8 4 < / T a r g e t A c c o u n t I D >  
             < C h a r t I D > 2 6 4 2 0 1 9 4 7 9 8 0 0 0 0 0 2 3 1 < / C h a r t I D >  
             < I s L i n k e d > f a l s e < / I s L i n k e d >  
             < N u m b e r > 0 1 0 7 0 0 4 0 0 0 0 2 < / N u m b e r >  
             < N a m e > A d v a n c e s   A g a i n s t   T a x   D e d u c t e d   A g a i n s t   D e b t   S e c u r i t y < / N a m e >  
             < A J E > 0 < / A J E >  
             < A d j u s t > 0 < / A d j u s t >  
             < R J E > 0 < / R J E >  
             < P r e l i m i n a r y > 0 < / P r e l i m i n a r y >  
             < F i n a l > 0 < / 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 6 < / B a l a n c e >  
                 < / A c c o u n t B a l a n c e >  
                 < A c c o u n t B a l a n c e >  
                     < F i e l d N a m e > P r i o r P e r i o d 3 B a l a n c e < / F i e l d N a m e >  
                     < B a l a n c e > 6 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 2 6 4 2 0 1 9 4 7 9 8 0 0 0 0 0 5 3 7 < / I D >  
             < T a r g e t A c c o u n t I D > 2 6 4 2 0 1 9 4 7 9 8 0 0 0 0 0 3 8 4 < / T a r g e t A c c o u n t I D >  
             < C h a r t I D > 2 6 4 2 0 1 9 4 7 9 8 0 0 0 0 0 2 3 1 < / C h a r t I D >  
             < I s L i n k e d > f a l s e < / I s L i n k e d >  
             < N u m b e r > 0 1 0 7 0 1 1 0 0 0 9 < / N u m b e r >  
             < N a m e > A d v a n c e   T a x   D e d u c t e d   O n   M t s   I n c o m e < / N a m e >  
             < A J E > 0 < / A J E >  
             < A d j u s t > 6 < / A d j u s t >  
             < R J E > 0 < / R J E >  
             < P r e l i m i n a r y > 6 < / P r e l i m i n a r y >  
             < F i n a l > 6 < / F i n a l >  
         < / A c c o u n t S t o r a g e >  
         < A c c o u n t S t o r a g e >  
             < A c c o u n t B a l a n c e s >  
                 < A c c o u n t B a l a n c e >  
                     < F i e l d N a m e > P r i o r P e r i o d 1 B a l a n c e < / F i e l d N a m e >  
                     < B a l a n c e > 2 5 0 0 < / B a l a n c e >  
                 < / A c c o u n t B a l a n c e >  
                 < A c c o u n t B a l a n c e >  
                     < F i e l d N a m e > P r i o r P e r i o d 2 B a l a n c e < / F i e l d N a m e >  
                     < B a l a n c e > 2 5 0 0 < / B a l a n c e >  
                 < / A c c o u n t B a l a n c e >  
                 < A c c o u n t B a l a n c e >  
                     < F i e l d N a m e > P r i o r P e r i o d 3 B a l a n c e < / F i e l d N a m e >  
                     < B a l a n c e > 2 5 0 0 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 2 6 4 2 0 1 9 4 7 9 8 0 0 0 0 0 3 6 5 < / I D >  
             < T a r g e t A c c o u n t I D > 2 6 4 2 0 1 9 4 7 9 8 0 0 0 0 0 3 7 5 < / T a r g e t A c c o u n t I D >  
             < C h a r t I D > 2 6 4 2 0 1 9 4 7 9 8 0 0 0 0 0 2 3 1 < / C h a r t I D >  
             < I s L i n k e d > f a l s e < / I s L i n k e d >  
             < N u m b e r > 0 1 0 7 0 0 5 0 0 0 0 1 < / N u m b e r >  
             < N a m e > S E C U R I T Y   D E P O S I T S   N C C P L   A G A I N S T   K A T S < / N a m e >  
             < A J E > 0 < / A J E >  
             < A d j u s t > 2 5 0 0 < / A d j u s t >  
             < R J E > 0 < / R J E >  
             < P r e l i m i n a r y > 2 5 0 0 < / P r e l i m i n a r y >  
             < F i n a l > 2 5 0 0 < / F i n a l >  
         < / A c c o u n t S t o r a g e >  
         < A c c o u n t S t o r a g e >  
             < A c c o u n t B a l a n c e s >  
                 < A c c o u n t B a l a n c e >  
                     < F i e l d N a m e > P r i o r P e r i o d 1 B a l a n c e < / F i e l d N a m e >  
                     < B a l a n c e > 2 5 0 < / B a l a n c e >  
                 < / A c c o u n t B a l a n c e >  
                 < A c c o u n t B a l a n c e >  
                     < F i e l d N a m e > P r i o r P e r i o d 2 B a l a n c e < / F i e l d N a m e >  
                     < B a l a n c e > 2 5 0 < / B a l a n c e >  
                 < / A c c o u n t B a l a n c e >  
                 < A c c o u n t B a l a n c e >  
                     < F i e l d N a m e > P r i o r P e r i o d 3 B a l a n c e < / F i e l d N a m e >  
                     < B a l a n c e > 2 5 0 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 2 6 4 2 0 1 9 4 7 9 8 0 0 0 0 0 5 3 5 < / I D >  
             < T a r g e t A c c o u n t I D > 2 6 4 2 0 1 9 4 7 9 8 0 0 0 0 0 3 7 5 < / T a r g e t A c c o u n t I D >  
             < C h a r t I D > 2 6 4 2 0 1 9 4 7 9 8 0 0 0 0 0 2 3 1 < / C h a r t I D >  
             < I s L i n k e d > f a l s e < / I s L i n k e d >  
             < N u m b e r > 0 1 0 7 0 0 5 0 0 0 0 3 < / N u m b e r >  
             < N a m e > S E C U R I T Y   D E P O S I T S   N C C P L   A G A I N S T   M T S < / N a m e >  
             < A J E > 0 < / A J E >  
             < A d j u s t > 2 5 0 < / A d j u s t >  
             < R J E > 0 < / R J E >  
             < P r e l i m i n a r y > 2 5 0 < / P r e l i m i n a r y >  
             < F i n a l > 2 5 0 < / F i n a l >  
         < / A c c o u n t S t o r a g e >  
         < A c c o u n t S t o r a g e >  
             < A c c o u n t B a l a n c e s >  
                 < A c c o u n t B a l a n c e >  
                     < F i e l d N a m e > P r i o r P e r i o d 1 B a l a n c e < / F i e l d N a m e >  
                     < B a l a n c e > 1 0 0 < / B a l a n c e >  
                 < / A c c o u n t B a l a n c e >  
                 < A c c o u n t B a l a n c e >  
                     < F i e l d N a m e > P r i o r P e r i o d 2 B a l a n c e < / F i e l d N a m e >  
                     < B a l a n c e > 1 0 0 < / B a l a n c e >  
                 < / A c c o u n t B a l a n c e >  
                 < A c c o u n t B a l a n c e >  
                     < F i e l d N a m e > P r i o r P e r i o d 3 B a l a n c e < / F i e l d N a m e >  
                     < B a l a n c e > 1 0 0 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 2 6 4 2 0 1 9 4 7 9 8 0 0 0 0 0 3 6 8 < / I D >  
             < T a r g e t A c c o u n t I D > 2 6 4 2 0 1 9 4 7 9 8 0 0 0 0 0 3 8 6 < / T a r g e t A c c o u n t I D >  
             < C h a r t I D > 2 6 4 2 0 1 9 4 7 9 8 0 0 0 0 0 2 3 1 < / C h a r t I D >  
             < I s L i n k e d > f a l s e < / I s L i n k e d >  
             < N u m b e r > 0 1 0 7 0 0 6 0 0 0 0 1 < / N u m b e r >  
             < N a m e > S E C U R I T Y   D E P O S I T S     C D C < / N a m e >  
             < A J E > 0 < / A J E >  
             < A d j u s t > 1 0 0 < / A d j u s t >  
             < R J E > 0 < / R J E >  
             < P r e l i m i n a r y > 1 0 0 < / P r e l i m i n a r y >  
             < F i n a l > 1 0 0 < / F i n a l >  
         < / A c c o u n t S t o r a g e >  
         < A c c o u n t S t o r a g e >  
             < A c c o u n t B a l a n c e s >  
                 < A c c o u n t B a l a n c e >  
                     < F i e l d N a m e > P r i o r P e r i o d 1 B a l a n c e < / F i e l d N a m e >  
                     < B a l a n c e > 1 0 9 < / B a l a n c e >  
                 < / A c c o u n t B a l a n c e >  
                 < A c c o u n t B a l a n c e >  
                     < F i e l d N a m e > P r i o r P e r i o d 2 B a l a n c e < / F i e l d N a m e >  
                     < B a l a n c e > 0 < / B a l a n c e >  
                 < / A c c o u n t B a l a n c e >  
                 < A c c o u n t B a l a n c e >  
                     < F i e l d N a m e > P r i o r P e r i o d 3 B a l a n c e < / F i e l d N a m e >  
                     < B a l a n c e > 9 7 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 2 6 4 2 0 1 9 4 7 9 8 0 0 0 0 0 5 3 6 < / I D >  
             < T a r g e t A c c o u n t I D > 2 6 4 2 0 1 9 4 7 9 8 0 0 0 0 0 4 3 1 < / T a r g e t A c c o u n t I D >  
             < C h a r t I D > 2 6 4 2 0 1 9 4 7 9 8 0 0 0 0 0 2 3 1 < / C h a r t I D >  
             < I s L i n k e d > f a l s e < / I s L i n k e d >  
             < N u m b e r > 0 1 0 7 0 0 7 0 0 0 0 1 < / N u m b e r >  
             < N a m e > P R E P A Y M E N T   O F   N C C P L   A G A I N S T   M A R G I N   T R A D I N G   S Y S T E M < / N a m e >  
             < A J E > 0 < / A J E >  
             < A d j u s t > 2 3 3 < / A d j u s t >  
             < R J E > 0 < / R J E >  
             < P r e l i m i n a r y > 2 3 3 < / P r e l i m i n a r y >  
             < F i n a l > 2 3 3 < / 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 2 6 4 2 0 1 9 4 7 9 8 0 0 0 0 0 5 0 2 < / I D >  
             < T a r g e t A c c o u n t I D > 2 6 4 2 0 1 9 4 7 9 8 0 0 0 0 0 2 9 0 < / T a r g e t A c c o u n t I D >  
             < C h a r t I D > 2 6 4 2 0 1 9 4 7 9 8 0 0 0 0 0 2 3 1 < / C h a r t I D >  
             < I s L i n k e d > f a l s e < / I s L i n k e d >  
             < N u m b e r > 0 1 0 7 0 0 7 0 0 0 0 9 < / N u m b e r >  
             < N a m e > P r e p a y m e n t   O f   P s x   A g a i n s t   A n n u a l   L i s t i n g   F e e < / N a m e >  
             < A J E > 0 < / A J E >  
             < A d j u s t > 1 2 < / A d j u s t >  
             < R J E > 0 < / R J E >  
             < P r e l i m i n a r y > 1 2 < / P r e l i m i n a r y >  
             < F i n a l > 1 2 < / F i n a l >  
         < / A c c o u n t S t o r a g e >  
         < A c c o u n t S t o r a g e >  
             < A c c o u n t B a l a n c e s >  
                 < A c c o u n t B a l a n c e >  
                     < F i e l d N a m e > P r i o r P e r i o d 1 B a l a n c e < / F i e l d N a m e >  
                     < B a l a n c e > 5 1 8 0 < / B a l a n c e >  
                 < / A c c o u n t B a l a n c e >  
                 < A c c o u n t B a l a n c e >  
                     < F i e l d N a m e > P r i o r P e r i o d 2 B a l a n c e < / F i e l d N a m e >  
                     < B a l a n c e > 2 2 8 5 < / B a l a n c e >  
                 < / A c c o u n t B a l a n c e >  
                 < A c c o u n t B a l a n c e >  
                     < F i e l d N a m e > P r i o r P e r i o d 3 B a l a n c e < / F i e l d N a m e >  
                     < B a l a n c e > 2 2 8 5 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 2 6 4 2 0 1 9 4 7 9 8 0 0 0 0 0 5 3 3 < / I D >  
             < T a r g e t A c c o u n t I D > 2 6 4 2 0 1 9 4 7 9 8 0 0 0 0 0 4 5 0 < / T a r g e t A c c o u n t I D >  
             < C h a r t I D > 2 6 4 2 0 1 9 4 7 9 8 0 0 0 0 0 2 3 1 < / C h a r t I D >  
             < I s L i n k e d > f a l s e < / I s L i n k e d >  
             < N u m b e r > 0 1 0 6 0 2 2 0 0 0 0 1 < / N u m b e r >  
             < N a m e > R E C E I V A B L E   F R O M   N C C P L   A M O U N T   D E P O S I T E D   A G A I N S T   E X P O S U R E   M A R G I N < / N a m e >  
             < A J E > 0 < / A J E >  
             < A d j u s t > 5 1 8 0 < / A d j u s t >  
             < R J E > 0 < / R J E >  
             < P r e l i m i n a r y > 5 1 8 0 < / P r e l i m i n a r y >  
             < F i n a l > 5 1 8 0 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 2 6 4 2 0 1 9 4 7 9 8 0 0 0 0 0 5 3 4 < / I D >  
             < T a r g e t A c c o u n t I D > 2 6 4 2 0 1 9 4 7 9 8 0 0 0 0 0 4 5 0 < / T a r g e t A c c o u n t I D >  
             < C h a r t I D > 2 6 4 2 0 1 9 4 7 9 8 0 0 0 0 0 2 3 1 < / C h a r t I D >  
             < I s L i n k e d > f a l s e < / I s L i n k e d >  
             < N u m b e r > 0 1 0 6 0 2 2 0 0 0 0 2 < / N u m b e r >  
             < N a m e > R e c e i v a b l e   F r o m   N c c p l   A m o u n t   D e p o s i t e d   A g a i n s t   E x p o s u r e   M a r g i n   O N   M t s < / N a m e >  
             < A J E > 0 < / A J E >  
             < A d j u s t > 0 < / A d j u s t >  
             < R J E > 0 < / R J E >  
             < P r e l i m i n a r y > 0 < / P r e l i m i n a r y >  
             < F i n a l > 0 < / F i n a l >  
         < / A c c o u n t S t o r a g e >  
         < A c c o u n t S t o r a g e >  
             < A c c o u n t B a l a n c e s >  
                 < A c c o u n t B a l a n c e >  
                     < F i e l d N a m e > P r i o r P e r i o d 1 B a l a n c e < / F i e l d N a m e >  
                     < B a l a n c e > 7 3 3 < / B a l a n c e >  
                 < / A c c o u n t B a l a n c e >  
                 < A c c o u n t B a l a n c e >  
                     < F i e l d N a m e > P r i o r P e r i o d 2 B a l a n c e < / F i e l d N a m e >  
                     < B a l a n c e > 7 3 3 < / B a l a n c e >  
                 < / A c c o u n t B a l a n c e >  
                 < A c c o u n t B a l a n c e >  
                     < F i e l d N a m e > P r i o r P e r i o d 3 B a l a n c e < / F i e l d N a m e >  
                     < B a l a n c e > 7 3 3 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 2 9 6 1 8 1 5 9 6 0 0 0 0 0 0 0 0 1 0 < / I D >  
             < T a r g e t A c c o u n t I D > 2 6 4 2 0 1 9 4 7 9 8 0 0 0 0 0 3 2 1 < / T a r g e t A c c o u n t I D >  
             < C h a r t I D > 2 6 4 2 0 1 9 4 7 9 8 0 0 0 0 0 2 3 1 < / C h a r t I D >  
             < I s L i n k e d > f a l s e < / I s L i n k e d >  
             < N u m b e r > 0 1 0 8 0 0 1 0 0 0 0 1 < / N u m b e r >  
             < N a m e > F O R M A T I O N   C O S T < / N a m e >  
             < A J E > 0 < / A J E >  
             < A d j u s t > 7 3 3 < / A d j u s t >  
             < R J E > 0 < / R J E >  
             < P r e l i m i n a r y > 7 3 3 < / P r e l i m i n a r y >  
             < F i n a l > 7 3 3 < / F i n a l >  
         < / A c c o u n t S t o r a g e >  
         < A c c o u n t S t o r a g e >  
             < A c c o u n t B a l a n c e s >  
                 < A c c o u n t B a l a n c e >  
                     < F i e l d N a m e > P r i o r P e r i o d 1 B a l a n c e < / F i e l d N a m e >  
                     < B a l a n c e > - 5 3 2 < / B a l a n c e >  
                 < / A c c o u n t B a l a n c e >  
                 < A c c o u n t B a l a n c e >  
                     < F i e l d N a m e > P r i o r P e r i o d 2 B a l a n c e < / F i e l d N a m e >  
                     < B a l a n c e > - 4 5 9 < / B a l a n c e >  
                 < / A c c o u n t B a l a n c e >  
                 < A c c o u n t B a l a n c e >  
                     < F i e l d N a m e > P r i o r P e r i o d 3 B a l a n c e < / F i e l d N a m e >  
                     < B a l a n c e > - 3 8 6 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 2 9 6 1 8 1 5 9 6 0 0 0 0 0 0 0 0 1 1 < / I D >  
             < T a r g e t A c c o u n t I D > 2 6 4 2 0 1 9 4 7 9 8 0 0 0 0 0 3 2 1 < / T a r g e t A c c o u n t I D >  
             < C h a r t I D > 2 6 4 2 0 1 9 4 7 9 8 0 0 0 0 0 2 3 1 < / C h a r t I D >  
             < I s L i n k e d > f a l s e < / I s L i n k e d >  
             < N u m b e r > 0 1 0 8 0 0 1 0 0 0 0 2 < / N u m b e r >  
             < N a m e > A M O R T I S A T I O N   O F   F O R M A T I O N   C O S T < / N a m e >  
             < A J E > 0 < / A J E >  
             < A d j u s t > - 6 0 6 < / A d j u s t >  
             < R J E > 0 < / R J E >  
             < P r e l i m i n a r y > - 6 0 6 < / P r e l i m i n a r y >  
             < F i n a l > - 6 0 6 < / F i n a l >  
         < / A c c o u n t S t o r a g e >  
         < A c c o u n t S t o r a g e >  
             < A c c o u n t B a l a n c e s >  
                 < A c c o u n t B a l a n c e >  
                     < F i e l d N a m e > P r i o r P e r i o d 1 B a l a n c e < / F i e l d N a m e >  
                     < B a l a n c e > - 3 8 5 < / B a l a n c e >  
                 < / A c c o u n t B a l a n c e >  
                 < A c c o u n t B a l a n c e >  
                     < F i e l d N a m e > P r i o r P e r i o d 2 B a l a n c e < / F i e l d N a m e >  
                     < B a l a n c e > - 2 9 8 < / B a l a n c e >  
                 < / A c c o u n t B a l a n c e >  
                 < A c c o u n t B a l a n c e >  
                     < F i e l d N a m e > P r i o r P e r i o d 3 B a l a n c e < / F i e l d N a m e >  
                     < B a l a n c e > - 4 8 8 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 2 6 4 2 0 1 9 4 7 9 8 0 0 0 0 0 4 0 0 < / I D >  
             < T a r g e t A c c o u n t I D > 2 6 4 2 0 1 9 4 7 9 8 0 0 0 0 0 2 7 4 < / T a r g e t A c c o u n t I D >  
             < C h a r t I D > 2 6 4 2 0 1 9 4 7 9 8 0 0 0 0 0 2 3 1 < / C h a r t I D >  
             < I s L i n k e d > f a l s e < / I s L i n k e d >  
             < N u m b e r > 0 3 0 1 0 0 1 0 0 0 0 1 < / N u m b e r >  
             < N a m e > M A N A G E M E N T   F E E   P A Y A B L E < / N a m e >  
             < A J E > 0 < / A J E >  
             < A d j u s t > - 2 2 3 < / A d j u s t >  
             < R J E > 0 < / R J E >  
             < P r e l i m i n a r y > - 2 2 3 < / P r e l i m i n a r y >  
             < F i n a l > - 2 2 3 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 2 6 4 2 0 1 9 4 7 9 8 0 0 0 0 0 4 0 2 < / I D >  
             < T a r g e t A c c o u n t I D > 2 6 4 2 0 1 9 4 7 9 8 0 0 0 0 0 2 7 4 < / T a r g e t A c c o u n t I D >  
             < C h a r t I D > 2 6 4 2 0 1 9 4 7 9 8 0 0 0 0 0 2 3 1 < / C h a r t I D >  
             < I s L i n k e d > f a l s e < / I s L i n k e d >  
             < N u m b e r > 0 3 0 1 0 0 2 0 0 0 0 1 < / N u m b e r >  
             < N a m e > S A L E   L O A D   P A Y A B L E < / N a m e >  
             < A J E > 0 < / A J E >  
             < A d j u s t > 0 < / A d j u s t >  
             < R J E > 0 < / R J E >  
             < P r e l i m i n a r y > 0 < / P r e l i m i n a r y >  
             < F i n a l > 0 < / F i n a l >  
         < / A c c o u n t S t o r a g e >  
         < A c c o u n t S t o r a g e >  
             < A c c o u n t B a l a n c e s >  
                 < A c c o u n t B a l a n c e >  
                     < F i e l d N a m e > P r i o r P e r i o d 1 B a l a n c e < / F i e l d N a m e >  
                     < B a l a n c e > - 5 0 < / B a l a n c e >  
                 < / A c c o u n t B a l a n c e >  
                 < A c c o u n t B a l a n c e >  
                     < F i e l d N a m e > P r i o r P e r i o d 2 B a l a n c e < / F i e l d N a m e >  
                     < B a l a n c e > - 3 9 < / B a l a n c e >  
                 < / A c c o u n t B a l a n c e >  
                 < A c c o u n t B a l a n c e >  
                     < F i e l d N a m e > P r i o r P e r i o d 3 B a l a n c e < / F i e l d N a m e >  
                     < B a l a n c e > - 6 3 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 2 6 4 2 0 1 9 4 7 9 8 0 0 0 0 0 4 0 4 < / I D >  
             < T a r g e t A c c o u n t I D > 2 6 4 2 0 1 9 4 7 9 8 0 0 0 0 0 2 7 4 < / T a r g e t A c c o u n t I D >  
             < C h a r t I D > 2 6 4 2 0 1 9 4 7 9 8 0 0 0 0 0 2 3 1 < / C h a r t I D >  
             < I s L i n k e d > f a l s e < / I s L i n k e d >  
             < N u m b e r > 0 3 0 1 0 0 6 0 0 0 0 1 < / N u m b e r >  
             < N a m e > S A L E S   T A X   P A Y A B L E   A G A I N S T   M A N A G E M E N T   F E E < / N a m e >  
             < A J E > 0 < / A J E >  
             < A d j u s t > - 2 9 < / A d j u s t >  
             < R J E > 0 < / R J E >  
             < P r e l i m i n a r y > - 2 9 < / P r e l i m i n a r y >  
             < F i n a l > - 2 9 < / F i n a l >  
         < / A c c o u n t S t o r a g e >  
         < A c c o u n t S t o r a g e >  
             < A c c o u n t B a l a n c e s >  
                 < A c c o u n t B a l a n c e >  
                     < F i e l d N a m e > P r i o r P e r i o d 1 B a l a n c e < / F i e l d N a m e >  
                     < B a l a n c e > - 2 1 < / B a l a n c e >  
                 < / A c c o u n t B a l a n c e >  
                 < A c c o u n t B a l a n c e >  
                     < F i e l d N a m e > P r i o r P e r i o d 2 B a l a n c e < / F i e l d N a m e >  
                     < B a l a n c e > - 3 2 3 < / B a l a n c e >  
                 < / A c c o u n t B a l a n c e >  
                 < A c c o u n t B a l a n c e >  
                     < F i e l d N a m e > P r i o r P e r i o d 3 B a l a n c e < / F i e l d N a m e >  
                     < B a l a n c e > - 3 1 0 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 2 6 4 2 0 1 9 4 7 9 8 0 0 0 0 0 4 3 9 < / I D >  
             < T a r g e t A c c o u n t I D > 2 6 4 2 0 1 9 4 7 9 8 0 0 0 0 0 2 7 4 < / T a r g e t A c c o u n t I D >  
             < C h a r t I D > 2 6 4 2 0 1 9 4 7 9 8 0 0 0 0 0 2 3 1 < / C h a r t I D >  
             < I s L i n k e d > f a l s e < / I s L i n k e d >  
             < N u m b e r > 0 3 1 2 0 0 1 0 0 0 0 1 < / N u m b e r >  
             < N a m e > B a c k   O f f i c e   O p e r a t i o n   P a y a b l e < / N a m e >  
             < A J E > 0 < / A J E >  
             < A d j u s t > - 1 5 < / A d j u s t >  
             < R J E > 0 < / R J E >  
             < P r e l i m i n a r y > - 1 5 < / P r e l i m i n a r y >  
             < F i n a l > - 1 5 < / 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 - 6 < / B a l a n c e >  
                 < / A c c o u n t B a l a n c e >  
                 < A c c o u n t B a l a n c e >  
                     < F i e l d N a m e > P r i o r P e r i o d 3 B a l a n c e < / F i e l d N a m e >  
                     < B a l a n c e > - 6 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 2 6 4 2 0 1 9 4 7 9 8 0 0 0 0 0 4 0 9 < / I D >  
             < T a r g e t A c c o u n t I D > 2 6 4 2 0 1 9 4 7 9 8 0 0 0 0 0 2 8 6 < / T a r g e t A c c o u n t I D >  
             < C h a r t I D > 2 6 4 2 0 1 9 4 7 9 8 0 0 0 0 0 2 3 1 < / C h a r t I D >  
             < I s L i n k e d > f a l s e < / I s L i n k e d >  
             < N u m b e r > 0 3 0 1 0 0 8 0 0 0 0 1 < / N u m b e r >  
             < N a m e > S a l e s   T a x   P a y a b l e   O n   T r u s t e e   F e e < / N a m e >  
             < A J E > 0 < / A J E >  
             < A d j u s t > - 6 < / A d j u s t >  
             < R J E > 0 < / R J E >  
             < P r e l i m i n a r y > - 6 < / P r e l i m i n a r y >  
             < F i n a l > - 6 < / F i n a l >  
         < / A c c o u n t S t o r a g e >  
         < A c c o u n t S t o r a g e >  
             < A c c o u n t B a l a n c e s >  
                 < A c c o u n t B a l a n c e >  
                     < F i e l d N a m e > P r i o r P e r i o d 1 B a l a n c e < / F i e l d N a m e >  
                     < B a l a n c e > - 4 1 < / B a l a n c e >  
                 < / A c c o u n t B a l a n c e >  
                 < A c c o u n t B a l a n c e >  
                     < F i e l d N a m e > P r i o r P e r i o d 2 B a l a n c e < / F i e l d N a m e >  
                     < B a l a n c e > - 4 2 < / B a l a n c e >  
                 < / A c c o u n t B a l a n c e >  
                 < A c c o u n t B a l a n c e >  
                     < F i e l d N a m e > P r i o r P e r i o d 3 B a l a n c e < / F i e l d N a m e >  
                     < B a l a n c e > - 4 8 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 2 6 4 2 0 1 9 4 7 9 8 0 0 0 0 0 4 1 3 < / I D >  
             < T a r g e t A c c o u n t I D > 2 6 4 2 0 1 9 4 7 9 8 0 0 0 0 0 2 8 6 < / T a r g e t A c c o u n t I D >  
             < C h a r t I D > 2 6 4 2 0 1 9 4 7 9 8 0 0 0 0 0 2 3 1 < / C h a r t I D >  
             < I s L i n k e d > f a l s e < / I s L i n k e d >  
             < N u m b e r > 0 3 0 2 0 0 1 0 0 0 0 1 < / N u m b e r >  
             < N a m e > T R U S T E E   R E M U N E R A T I O N   P A Y A B L E < / N a m e >  
             < A J E > 0 < / A J E >  
             < A d j u s t > - 4 2 < / A d j u s t >  
             < R J E > 0 < / R J E >  
             < P r e l i m i n a r y > - 4 2 < / P r e l i m i n a r y >  
             < F i n a l > - 4 2 < / F i n a l >  
         < / A c c o u n t S t o r a g e >  
         < A c c o u n t S t o r a g e >  
             < A c c o u n t B a l a n c e s >  
                 < A c c o u n t B a l a n c e >  
                     < F i e l d N a m e > P r i o r P e r i o d 1 B a l a n c e < / F i e l d N a m e >  
                     < B a l a n c e > - 3 1 2 < / B a l a n c e >  
                 < / A c c o u n t B a l a n c e >  
                 < A c c o u n t B a l a n c e >  
                     < F i e l d N a m e > P r i o r P e r i o d 2 B a l a n c e < / F i e l d N a m e >  
                     < B a l a n c e > - 1 8 2 < / B a l a n c e >  
                 < / A c c o u n t B a l a n c e >  
                 < A c c o u n t B a l a n c e >  
                     < F i e l d N a m e > P r i o r P e r i o d 3 B a l a n c e < / F i e l d N a m e >  
                     < B a l a n c e > - 6 3 1 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 2 6 4 2 0 1 9 4 7 9 8 0 0 0 0 0 4 1 4 < / I D >  
             < T a r g e t A c c o u n t I D > 2 6 4 2 0 1 9 4 7 9 8 0 0 0 0 0 2 7 9 < / T a r g e t A c c o u n t I D >  
             < C h a r t I D > 2 6 4 2 0 1 9 4 7 9 8 0 0 0 0 0 2 3 1 < / C h a r t I D >  
             < I s L i n k e d > f a l s e < / I s L i n k e d >  
             < N u m b e r > 0 3 0 4 0 0 1 0 0 0 0 1 < / N u m b e r >  
             < N a m e > P A Y A B L E   T O   S E C P     A N N U A L   F E E < / N a m e >  
             < A J E > 0 < / A J E >  
             < A d j u s t > - 2 0 < / A d j u s t >  
             < R J E > 0 < / R J E >  
             < P r e l i m i n a r y > - 2 0 < / P r e l i m i n a r y >  
             < F i n a l > - 2 0 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 2 6 4 2 0 1 9 4 7 9 8 0 0 0 0 0 4 1 7 < / I D >  
             < T a r g e t A c c o u n t I D > 2 6 4 2 0 1 9 4 7 9 8 0 0 0 0 0 2 8 0 < / T a r g e t A c c o u n t I D >  
             < C h a r t I D > 2 6 4 2 0 1 9 4 7 9 8 0 0 0 0 0 2 3 1 < / C h a r t I D >  
             < I s L i n k e d > f a l s e < / I s L i n k e d >  
             < N u m b e r > 0 3 0 7 0 0 1 0 0 0 0 1 < / N u m b e r >  
             < N a m e > P A Y A B L E   A G A I N S T   R E D E M P T I O N   O F   U N I T S 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 - 3 6 1 6 7 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 2 6 4 2 0 1 9 4 7 9 8 0 0 0 0 0 5 3 9 < / I D >  
             < T a r g e t A c c o u n t I D > 2 6 4 2 0 1 9 4 7 9 8 0 0 0 0 0 4 2 3 < / T a r g e t A c c o u n t I D >  
             < C h a r t I D > 2 6 4 2 0 1 9 4 7 9 8 0 0 0 0 0 2 3 1 < / C h a r t I D >  
             < I s L i n k e d > f a l s e < / I s L i n k e d >  
             < N u m b e r > 0 3 0 5 0 0 1 0 0 0 0 1 < / N u m b e r >  
             < N a m e > P A Y A B L E   A G A I N S T   P U R C H A S E 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 2 6 4 2 0 1 9 4 7 9 8 0 0 0 0 0 3 7 3 < / I D >  
             < T a r g e t A c c o u n t I D > 2 6 4 2 0 1 9 4 7 9 8 0 0 0 0 0 2 5 6 < / T a r g e t A c c o u n t I D >  
             < C h a r t I D > 2 6 4 2 0 1 9 4 7 9 8 0 0 0 0 0 2 3 1 < / C h a r t I D >  
             < I s L i n k e d > f a l s e < / I s L i n k e d >  
             < N u m b e r > 0 1 0 7 0 0 7 0 0 0 0 3 < / N u m b e r >  
             < N a m e > P R E P A Y M E N T   O F   L S E 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 - 8 4 1 < / B a l a n c e >  
                 < / A c c o u n t B a l a n c e >  
                 < A c c o u n t B a l a n c e >  
                     < F i e l d N a m e > P r i o r P e r i o d 2 B a l a n c e < / F i e l d N a m e >  
                     < B a l a n c e > - 8 4 1 < / B a l a n c e >  
                 < / A c c o u n t B a l a n c e >  
                 < A c c o u n t B a l a n c e >  
                     < F i e l d N a m e > P r i o r P e r i o d 3 B a l a n c e < / F i e l d N a m e >  
                     < B a l a n c e > - 8 4 1 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 2 6 4 2 0 1 9 4 7 9 8 0 0 0 0 0 4 0 7 < / I D >  
             < T a r g e t A c c o u n t I D > 2 6 4 2 0 1 9 4 7 9 8 0 0 0 0 0 2 5 6 < / T a r g e t A c c o u n t I D >  
             < C h a r t I D > 2 6 4 2 0 1 9 4 7 9 8 0 0 0 0 0 2 3 1 < / C h a r t I D >  
             < I s L i n k e d > f a l s e < / I s L i n k e d >  
             < N u m b e r > 0 3 0 1 0 0 7 0 0 0 0 1 < / N u m b e r >  
             < N a m e > F E D   T A X   P A Y A B L E   A G A I N S T   M A N A G E M E N T   F E E < / N a m e >  
             < A J E > 0 < / A J E >  
             < A d j u s t > - 8 4 1 < / A d j u s t >  
             < R J E > 0 < / R J E >  
             < P r e l i m i n a r y > - 8 4 1 < / P r e l i m i n a r y >  
             < F i n a l > - 8 4 1 < / F i n a l >  
         < / A c c o u n t S t o r a g e >  
         < A c c o u n t S t o r a g e >  
             < A c c o u n t B a l a n c e s >  
                 < A c c o u n t B a l a n c e >  
                     < F i e l d N a m e > P r i o r P e r i o d 1 B a l a n c e < / F i e l d N a m e >  
                     < B a l a n c e > - 3 6 2 5 < / B a l a n c e >  
                 < / A c c o u n t B a l a n c e >  
                 < A c c o u n t B a l a n c e >  
                     < F i e l d N a m e > P r i o r P e r i o d 2 B a l a n c e < / F i e l d N a m e >  
                     < B a l a n c e > - 3 6 2 5 < / B a l a n c e >  
                 < / A c c o u n t B a l a n c e >  
                 < A c c o u n t B a l a n c e >  
                     < F i e l d N a m e > P r i o r P e r i o d 3 B a l a n c e < / F i e l d N a m e >  
                     < B a l a n c e > - 3 6 2 5 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 2 6 4 2 0 1 9 4 7 9 8 0 0 0 0 0 4 1 1 < / I D >  
             < T a r g e t A c c o u n t I D > 2 6 4 2 0 1 9 4 7 9 8 0 0 0 0 0 2 5 6 < / T a r g e t A c c o u n t I D >  
             < C h a r t I D > 2 6 4 2 0 1 9 4 7 9 8 0 0 0 0 0 2 3 1 < / C h a r t I D >  
             < I s L i n k e d > f a l s e < / I s L i n k e d >  
             < N u m b e r > 0 3 0 1 0 0 9 0 0 0 0 1 < / N u m b e r >  
             < N a m e > F e d   T a x   P a y a b l e   A g a i n s t   S a l e s   L o a d < / N a m e >  
             < A J E > 0 < / A J E >  
             < A d j u s t > - 3 6 2 5 < / A d j u s t >  
             < R J E > 0 < / R J E >  
             < P r e l i m i n a r y > - 3 6 2 5 < / P r e l i m i n a r y >  
             < F i n a l > - 3 6 2 5 < / F i n a l >  
         < / A c c o u n t S t o r a g e >  
         < A c c o u n t S t o r a g e >  
             < A c c o u n t B a l a n c e s >  
                 < A c c o u n t B a l a n c e >  
                     < F i e l d N a m e > P r i o r P e r i o d 1 B a l a n c e < / F i e l d N a m e >  
                     < B a l a n c e > - 1 9 0 5 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 2 6 4 2 0 1 9 4 7 9 8 0 0 0 0 0 4 1 9 < / I D >  
             < T a r g e t A c c o u n t I D > 2 6 4 2 0 1 9 4 7 9 8 0 0 0 0 0 2 5 6 < / T a r g e t A c c o u n t I D >  
             < C h a r t I D > 2 6 4 2 0 1 9 4 7 9 8 0 0 0 0 0 2 3 1 < / C h a r t I D >  
             < I s L i n k e d > f a l s e < / I s L i n k e d >  
             < N u m b e r > 0 3 0 9 0 0 1 0 0 0 0 1 < / N u m b e r >  
             < N a m e > D I V I D E N D   P A Y A B L E < / N a m e >  
             < A J E > 0 < / A J E >  
             < A d j u s t > - 1 5 9 4 < / A d j u s t >  
             < R J E > 0 < / R J E >  
             < P r e l i m i n a r y > - 1 5 9 4 < / P r e l i m i n a r y >  
             < F i n a l > - 1 5 9 4 < / F i n a l >  
         < / A c c o u n t S t o r a g e >  
         < A c c o u n t S t o r a g e >  
             < A c c o u n t B a l a n c e s >  
                 < A c c o u n t B a l a n c e >  
                     < F i e l d N a m e > P r i o r P e r i o d 1 B a l a n c e < / F i e l d N a m e >  
                     < B a l a n c e > - 1 6 < / B a l a n c e >  
                 < / A c c o u n t B a l a n c e >  
                 < A c c o u n t B a l a n c e >  
                     < F i e l d N a m e > P r i o r P e r i o d 2 B a l a n c e < / F i e l d N a m e >  
                     < B a l a n c e > 0 < / B a l a n c e >  
                 < / A c c o u n t B a l a n c e >  
                 < A c c o u n t B a l a n c e >  
                     < F i e l d N a m e > P r i o r P e r i o d 3 B a l a n c e < / F i e l d N a m e >  
                     < B a l a n c e > - 9 7 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 2 6 4 2 0 1 9 4 7 9 8 0 0 0 0 0 5 4 0 < / I D >  
             < T a r g e t A c c o u n t I D > 2 6 4 2 0 1 9 4 7 9 8 0 0 0 0 0 2 5 6 < / T a r g e t A c c o u n t I D >  
             < C h a r t I D > 2 6 4 2 0 1 9 4 7 9 8 0 0 0 0 0 2 3 1 < / C h a r t I D >  
             < I s L i n k e d > f a l s e < / I s L i n k e d >  
             < N u m b e r > 0 3 1 0 0 0 4 0 0 0 0 2 < / N u m b e r >  
             < N a m e > B R O K E R A G E   P A Y A B L E     E Q U I T Y   I N V E S T M E N T 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 - 9 < / B a l a n c e >  
                 < / A c c o u n t B a l a n c e >  
                 < A c c o u n t B a l a n c e >  
                     < F i e l d N a m e > P r i o r P e r i o d 3 B a l a n c e < / F i e l d N a m e >  
                     < B a l a n c e > - 5 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 2 6 4 2 0 1 9 4 7 9 8 0 0 0 0 0 4 2 1 < / I D >  
             < T a r g e t A c c o u n t I D > 2 6 4 2 0 1 9 4 7 9 8 0 0 0 0 0 2 5 6 < / T a r g e t A c c o u n t I D >  
             < C h a r t I D > 2 6 4 2 0 1 9 4 7 9 8 0 0 0 0 0 2 3 1 < / C h a r t I D >  
             < I s L i n k e d > f a l s e < / I s L i n k e d >  
             < N u m b e r > 0 3 1 0 0 0 5 0 0 0 0 1 < / N u m b e r >  
             < N a m e > B R O K E R A G E   P A Y A B L E   M O N E Y   M A R K E T < / N a m e >  
             < A J E > 0 < / A J E >  
             < A d j u s t > - 1 8 < / A d j u s t >  
             < R J E > 0 < / R J E >  
             < P r e l i m i n a r y > - 1 8 < / P r e l i m i n a r y >  
             < F i n a l > - 1 8 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 2 6 4 2 0 1 9 4 7 9 8 0 0 0 0 0 5 0 5 < / I D >  
             < T a r g e t A c c o u n t I D > 2 6 4 2 0 1 9 4 7 9 8 0 0 0 0 0 2 5 6 < / T a r g e t A c c o u n t I D >  
             < C h a r t I D > 2 6 4 2 0 1 9 4 7 9 8 0 0 0 0 0 2 3 1 < / C h a r t I D >  
             < I s L i n k e d > f a l s e < / I s L i n k e d >  
             < N u m b e r > 0 3 1 0 0 0 5 0 0 0 0 3 < / N u m b e r >  
             < N a m e > B R O K E R A G E   P A Y A B L E     M O N E Y   M A R K E T < / N a m e >  
             < A J E > 0 < / A J E >  
             < A d j u s t > 0 < / A d j u s t >  
             < R J E > 0 < / R J E >  
             < P r e l i m i n a r y > 0 < / P r e l i m i n a r y >  
             < F i n a l > 0 < / F i n a l >  
         < / A c c o u n t S t o r a g e >  
         < A c c o u n t S t o r a g e >  
             < A c c o u n t B a l a n c e s >  
                 < A c c o u n t B a l a n c e >  
                     < F i e l d N a m e > P r i o r P e r i o d 1 B a l a n c e < / F i e l d N a m e >  
                     < B a l a n c e > - 2 5 6 1 < / B a l a n c e >  
                 < / A c c o u n t B a l a n c e >  
                 < A c c o u n t B a l a n c e >  
                     < F i e l d N a m e > P r i o r P e r i o d 2 B a l a n c e < / F i e l d N a m e >  
                     < B a l a n c e > - 2 2 7 9 < / B a l a n c e >  
                 < / A c c o u n t B a l a n c e >  
                 < A c c o u n t B a l a n c e >  
                     < F i e l d N a m e > P r i o r P e r i o d 3 B a l a n c e < / F i e l d N a m e >  
                     < B a l a n c e > - 2 0 9 7 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 2 6 4 2 0 1 9 4 7 9 8 0 0 0 0 0 4 2 2 < / I D >  
             < T a r g e t A c c o u n t I D > 2 6 4 2 0 1 9 4 7 9 8 0 0 0 0 0 2 5 6 < / T a r g e t A c c o u n t I D >  
             < C h a r t I D > 2 6 4 2 0 1 9 4 7 9 8 0 0 0 0 0 2 3 1 < / C h a r t I D >  
             < I s L i n k e d > f a l s e < / I s L i n k e d >  
             < N u m b e r > 0 3 1 0 0 0 6 0 0 0 0 1 < / N u m b e r >  
             < N a m e > W O R K E R ' S   W E L F A R E   F U N D   P A Y A B L E < / N a m e >  
             < A J E > 0 < / A J E >  
             < A d j u s t > - 2 7 6 3 < / A d j u s t >  
             < R J E > 0 < / R J E >  
             < P r e l i m i n a r y > - 2 7 6 3 < / P r e l i m i n a r y >  
             < F i n a l > - 2 7 6 3 < / F i n a l >  
         < / A c c o u n t S t o r a g e >  
         < A c c o u n t S t o r a g e >  
             < A c c o u n t B a l a n c e s >  
                 < A c c o u n t B a l a n c e >  
                     < F i e l d N a m e > P r i o r P e r i o d 1 B a l a n c e < / F i e l d N a m e >  
                     < B a l a n c e > - 3 9 4 < / B a l a n c e >  
                 < / A c c o u n t B a l a n c e >  
                 < A c c o u n t B a l a n c e >  
                     < F i e l d N a m e > P r i o r P e r i o d 2 B a l a n c e < / F i e l d N a m e >  
                     < B a l a n c e > - 2 8 5 < / B a l a n c e >  
                 < / A c c o u n t B a l a n c e >  
                 < A c c o u n t B a l a n c e >  
                     < F i e l d N a m e > P r i o r P e r i o d 3 B a l a n c e < / F i e l d N a m e >  
                     < B a l a n c e > - 4 4 8 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 2 6 4 2 0 1 9 4 7 9 8 0 0 0 0 0 4 2 5 < / I D >  
             < T a r g e t A c c o u n t I D > 2 6 4 2 0 1 9 4 7 9 8 0 0 0 0 0 2 5 6 < / T a r g e t A c c o u n t I D >  
             < C h a r t I D > 2 6 4 2 0 1 9 4 7 9 8 0 0 0 0 0 2 3 1 < / C h a r t I D >  
             < I s L i n k e d > f a l s e < / I s L i n k e d >  
             < N u m b e r > 0 3 1 0 0 0 7 0 0 0 0 1 < / N u m b e r >  
             < N a m e > A U D I T   F E E   P A Y A B L E < / N a m e >  
             < A J E > 0 < / A J E >  
             < A d j u s t > - 3 1 2 < / A d j u s t >  
             < R J E > 0 < / R J E >  
             < P r e l i m i n a r y > - 3 1 2 < / P r e l i m i n a r y >  
             < F i n a l > - 3 1 2 < / 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 2 6 4 2 0 1 9 4 7 9 8 0 0 0 0 0 4 2 6 < / I D >  
             < T a r g e t A c c o u n t I D > 2 6 4 2 0 1 9 4 7 9 8 0 0 0 0 0 2 5 6 < / T a r g e t A c c o u n t I D >  
             < C h a r t I D > 2 6 4 2 0 1 9 4 7 9 8 0 0 0 0 0 2 3 1 < / C h a r t I D >  
             < I s L i n k e d > f a l s e < / I s L i n k e d >  
             < N u m b e r > 0 3 1 0 0 0 8 0 0 0 0 1 < / N u m b e r >  
             < N a m e > W I T H H O L D I N G   T A X   P A Y A B L E     C G T   U / S   3 7 A < / N a m e >  
             < A J E > 0 < / A J E >  
             < A d j u s t > - 2 0 < / A d j u s t >  
             < R J E > 0 < / R J E >  
             < P r e l i m i n a r y > - 2 0 < / P r e l i m i n a r y >  
             < F i n a l > - 2 0 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 2 6 4 2 0 1 9 4 7 9 8 0 0 0 0 0 4 2 9 < / I D >  
             < T a r g e t A c c o u n t I D > 2 6 4 2 0 1 9 4 7 9 8 0 0 0 0 0 2 5 6 < / T a r g e t A c c o u n t I D >  
             < C h a r t I D > 2 6 4 2 0 1 9 4 7 9 8 0 0 0 0 0 2 3 1 < / C h a r t I D >  
             < I s L i n k e d > f a l s e < / I s L i n k e d >  
             < N u m b e r > 0 3 1 0 0 0 9 0 0 0 0 2 < / N u m b e r >  
             < N a m e > W . H .   T A X   P A Y A B L E     D I V I D E N D   U / S   1 5 0 < / N a m e >  
             < A J E > 0 < / A J E >  
             < A d j u s t > 0 < / A d j u s t >  
             < R J E > 0 < / R J E >  
             < P r e l i m i n a r y > 0 < / P r e l i m i n a r y >  
             < F i n a l > 0 < / F i n a l >  
         < / A c c o u n t S t o r a g e >  
         < A c c o u n t S t o r a g e >  
             < A c c o u n t B a l a n c e s >  
                 < A c c o u n t B a l a n c e >  
                     < F i e l d N a m e > P r i o r P e r i o d 1 B a l a n c e < / F i e l d N a m e >  
                     < B a l a n c e > - 1 3 0 < / B a l a n c e >  
                 < / A c c o u n t B a l a n c e >  
                 < A c c o u n t B a l a n c e >  
                     < F i e l d N a m e > P r i o r P e r i o d 2 B a l a n c e < / F i e l d N a m e >  
                     < B a l a n c e > - 1 6 3 < / B a l a n c e >  
                 < / A c c o u n t B a l a n c e >  
                 < A c c o u n t B a l a n c e >  
                     < F i e l d N a m e > P r i o r P e r i o d 3 B a l a n c e < / F i e l d N a m e >  
                     < B a l a n c e > - 1 3 0 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 2 6 4 2 0 1 9 4 7 9 8 0 0 0 0 0 4 3 0 < / I D >  
             < T a r g e t A c c o u n t I D > 2 6 4 2 0 1 9 4 7 9 8 0 0 0 0 0 2 5 6 < / T a r g e t A c c o u n t I D >  
             < C h a r t I D > 2 6 4 2 0 1 9 4 7 9 8 0 0 0 0 0 2 3 1 < / C h a r t I D >  
             < I s L i n k e d > f a l s e < / I s L i n k e d >  
             < N u m b e r > 0 3 1 0 0 1 2 0 0 0 0 1 < / N u m b e r >  
             < N a m e > P A Y A B L E   T O   L E G A L   A D V I S O R < / N a m e >  
             < A J E > 0 < / A J E >  
             < A d j u s t > - 1 6 3 < / A d j u s t >  
             < R J E > 0 < / R J E >  
             < P r e l i m i n a r y > - 1 6 3 < / P r e l i m i n a r y >  
             < F i n a l > - 1 6 3 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 2 6 4 2 0 1 9 4 7 9 8 0 0 0 0 0 4 3 3 < / I D >  
             < T a r g e t A c c o u n t I D > 2 6 4 2 0 1 9 4 7 9 8 0 0 0 0 0 2 5 6 < / T a r g e t A c c o u n t I D >  
             < C h a r t I D > 2 6 4 2 0 1 9 4 7 9 8 0 0 0 0 0 2 3 1 < / C h a r t I D >  
             < I s L i n k e d > f a l s e < / I s L i n k e d >  
             < N u m b e r > 0 3 1 0 0 1 5 0 0 0 0 1 < / N u m b e r >  
             < N a m e > Z A K A T   P A Y A B L E 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 2 6 4 2 0 1 9 4 7 9 8 0 0 0 0 0 4 3 4 < / I D >  
             < T a r g e t A c c o u n t I D > 2 6 4 2 0 1 9 4 7 9 8 0 0 0 0 0 2 5 6 < / T a r g e t A c c o u n t I D >  
             < C h a r t I D > 2 6 4 2 0 1 9 4 7 9 8 0 0 0 0 0 2 3 1 < / C h a r t I D >  
             < I s L i n k e d > f a l s e < / I s L i n k e d >  
             < N u m b e r > 0 3 1 0 0 1 6 0 0 0 0 1 < / N u m b e r >  
             < N a m e > S E T T L E M E N T   C H A R G E S   P A Y A B L E   T O   N C C P L < / N a m e >  
             < A J E > 0 < / A J E >  
             < A d j u s t > 0 < / A d j u s t >  
             < R J E > 0 < / R J E >  
             < P r e l i m i n a r y > 0 < / P r e l i m i n a r y >  
             < F i n a l > 0 < / F i n a l >  
         < / A c c o u n t S t o r a g e >  
         < A c c o u n t S t o r a g e >  
             < A c c o u n t B a l a n c e s >  
                 < A c c o u n t B a l a n c e >  
                     < F i e l d N a m e > P r i o r P e r i o d 1 B a l a n c e < / F i e l d N a m e >  
                     < B a l a n c e > - 4 0 < / B a l a n c e >  
                 < / A c c o u n t B a l a n c e >  
                 < A c c o u n t B a l a n c e >  
                     < F i e l d N a m e > P r i o r P e r i o d 2 B a l a n c e < / F i e l d N a m e >  
                     < B a l a n c e > - 3 0 < / B a l a n c e >  
                 < / A c c o u n t B a l a n c e >  
                 < A c c o u n t B a l a n c e >  
                     < F i e l d N a m e > P r i o r P e r i o d 3 B a l a n c e < / F i e l d N a m e >  
                     < B a l a n c e > - 4 0 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 2 6 4 2 0 1 9 4 7 9 8 0 0 0 0 0 4 3 6 < / I D >  
             < T a r g e t A c c o u n t I D > 2 6 4 2 0 1 9 4 7 9 8 0 0 0 0 0 2 5 6 < / T a r g e t A c c o u n t I D >  
             < C h a r t I D > 2 6 4 2 0 1 9 4 7 9 8 0 0 0 0 0 2 3 1 < / C h a r t I D >  
             < I s L i n k e d > f a l s e < / I s L i n k e d >  
             < N u m b e r > 0 3 1 0 0 1 7 0 0 0 0 1 < / N u m b e r >  
             < N a m e > P R I N T I N G   C H A R G E S   P A Y A B L E < / N a m e >  
             < A J E > 0 < / A J E >  
             < A d j u s t > - 3 0 < / A d j u s t >  
             < R J E > 0 < / R J E >  
             < P r e l i m i n a r y > - 3 0 < / P r e l i m i n a r y >  
             < F i n a l > - 3 0 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 2 6 4 2 0 1 9 4 7 9 8 0 0 0 0 0 5 7 8 < / I D >  
             < T a r g e t A c c o u n t I D > 2 6 4 2 0 1 9 4 7 9 8 0 0 0 0 0 2 5 6 < / T a r g e t A c c o u n t I D >  
             < C h a r t I D > 2 6 4 2 0 1 9 4 7 9 8 0 0 0 0 0 2 3 1 < / C h a r t I D >  
             < I s L i n k e d > f a l s e < / I s L i n k e d >  
             < N u m b e r > 0 3 1 0 0 1 9 0 0 0 0 1 < / N u m b e r >  
             < N a m e > O T H E R   P A Y A B L E 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 2 9 6 1 8 1 5 9 6 0 0 0 0 0 0 0 0 1 2 < / I D >  
             < T a r g e t A c c o u n t I D > 2 6 4 2 0 1 9 4 7 9 8 0 0 0 0 0 2 5 6 < / T a r g e t A c c o u n t I D >  
             < C h a r t I D > 2 6 4 2 0 1 9 4 7 9 8 0 0 0 0 0 2 3 1 < / C h a r t I D >  
             < I s L i n k e d > f a l s e < / I s L i n k e d >  
             < N u m b e r > 0 3 1 4 0 0 1 0 0 1 < / N u m b e r >  
             < N a m e > M a r k e t i n g   A n d   S e l l i n g   P a y a b l e < / N a m e >  
             < A J E > 0 < / A J E >  
             < A d j u s t > - 3 8 4 < / A d j u s t >  
             < R J E > 0 < / R J E >  
             < P r e l i m i n a r y > - 3 8 4 < / P r e l i m i n a r y >  
             < F i n a l > - 3 8 4 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 2 6 4 2 0 1 9 4 7 9 8 0 0 0 0 0 5 0 9 < / I D >  
             < T a r g e t A c c o u n t I D > 2 6 4 2 0 1 9 4 7 9 8 0 0 0 0 0 2 5 6 < / T a r g e t A c c o u n t I D >  
             < C h a r t I D > 2 6 4 2 0 1 9 4 7 9 8 0 0 0 0 0 2 3 1 < / C h a r t I D >  
             < I s L i n k e d > f a l s e < / I s L i n k e d >  
             < N u m b e r > D T 1 < / N u m b e r >  
             < N a m e > S S T   p a y a b l e   o n   b a c k   o f f i c e   o p e r a t i o n   e x p e n s e s 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 2 6 4 2 0 1 9 4 7 9 8 0 0 0 0 0 5 4 1 < / I D >  
             < T a r g e t A c c o u n t I D > 2 6 4 2 0 1 9 4 7 9 8 0 0 0 0 0 4 2 7 < / T a r g e t A c c o u n t I D >  
             < C h a r t I D > 2 6 4 2 0 1 9 4 7 9 8 0 0 0 0 0 2 3 1 < / C h a r t I D >  
             < I s L i n k e d > f a l s e < / I s L i n k e d >  
             < N u m b e r > 0 3 1 3 0 0 9 0 0 0 9 < / N u m b e r >  
             < N a m e > P a y a b l e   A g a i n s t   E x p o s u r e   I n   M a g i n   T r a d i n g   S y s t e m < / 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 2 6 4 2 0 1 9 4 7 9 8 0 0 0 0 0 3 9 6 < / I D >  
             < T a r g e t A c c o u n t I D > 2 6 4 2 0 1 9 4 7 9 8 0 0 0 0 0 4 0 6 < / T a r g e t A c c o u n t I D >  
             < C h a r t I D > 2 6 4 2 0 1 9 4 7 9 8 0 0 0 0 0 2 3 1 < / C h a r t I D >  
             < I s L i n k e d > f a l s e < / I s L i n k e d >  
             < N u m b e r > 0 2 0 4 0 0 4 0 0 0 0 1 < / N u m b e r >  
             < N a m e > U n r e a l i z e d   G a i n   /   ( L o s s )   P i b -   A f s < / N a m e >  
             < A J E > 0 < / A J E >  
             < A d j u s t > 0 < / A d j u s t >  
             < R J E > 0 < / R J E >  
             < P r e l i m i n a r y > 0 < / P r e l i m i n a r y >  
             < F i n a l > 0 < / F i n a l >  
         < / A c c o u n t S t o r a g e >  
         < A c c o u n t S t o r a g e >  
             < A c c o u n t B a l a n c e s >  
                 < A c c o u n t B a l a n c e >  
                     < F i e l d N a m e > P r i o r P e r i o d 1 B a l a n c e < / F i e l d N a m e >  
                     < B a l a n c e > 2 0 7 3 6 < / B a l a n c e >  
                 < / A c c o u n t B a l a n c e >  
                 < A c c o u n t B a l a n c e >  
                     < F i e l d N a m e > P r i o r P e r i o d 2 B a l a n c e < / F i e l d N a m e >  
                     < B a l a n c e > 1 0 0 4 0 < / B a l a n c e >  
                 < / A c c o u n t B a l a n c e >  
                 < A c c o u n t B a l a n c e >  
                     < F i e l d N a m e > P r i o r P e r i o d 3 B a l a n c e < / F i e l d N a m e >  
                     < B a l a n c e > 3 0 7 4 0 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 2 6 4 2 0 1 9 4 7 9 8 0 0 0 0 0 3 9 4 < / I D >  
             < T a r g e t A c c o u n t I D > 2 6 4 2 0 1 9 4 7 9 8 0 0 0 0 0 3 3 7 < / T a r g e t A c c o u n t I D >  
             < C h a r t I D > 2 6 4 2 0 1 9 4 7 9 8 0 0 0 0 0 2 3 1 < / C h a r t I D >  
             < I s L i n k e d > f a l s e < / I s L i n k e d >  
             < N u m b e r > 0 2 0 3 0 0 1 0 0 0 0 1 < / N u m b e r >  
             < N a m e > U N A P P R O P R I A T E D   I N C O M E < / N a m e >  
             < A J E > 0 < / A J E >  
             < A d j u s t > 9 8 0 1 < / A d j u s t >  
             < R J E > 0 < / R J E >  
             < P r e l i m i n a r y > 9 8 0 1 < / P r e l i m i n a r y >  
             < F i n a l > 9 8 0 1 < / F i n a l >  
         < / A c c o u n t S t o r a g e >  
         < A c c o u n t S t o r a g e >  
             < A c c o u n t B a l a n c e s >  
                 < A c c o u n t B a l a n c e >  
                     < F i e l d N a m e > P r i o r P e r i o d 1 B a l a n c e < / F i e l d N a m e >  
                     < B a l a n c e > - 6 4 3 9 < / B a l a n c e >  
                 < / A c c o u n t B a l a n c e >  
                 < A c c o u n t B a l a n c e >  
                     < F i e l d N a m e > P r i o r P e r i o d 2 B a l a n c e < / F i e l d N a m e >  
                     < B a l a n c e > - 5 4 3 9 < / B a l a n c e >  
                 < / A c c o u n t B a l a n c e >  
                 < A c c o u n t B a l a n c e >  
                     < F i e l d N a m e > P r i o r P e r i o d 3 B a l a n c e < / F i e l d N a m e >  
                     < B a l a n c e > - 5 8 7 3 3 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 2 6 4 2 0 1 9 4 7 9 8 0 0 0 0 0 3 7 7 < / I D >  
             < T a r g e t A c c o u n t I D > 2 6 4 2 0 1 9 4 7 9 8 0 0 0 0 0 2 3 6 < / T a r g e t A c c o u n t I D >  
             < C h a r t I D > 2 6 4 2 0 1 9 4 7 9 8 0 0 0 0 0 2 3 1 < / C h a r t I D >  
             < I s L i n k e d > f a l s e < / I s L i n k e d >  
             < N u m b e r > 0 2 0 1 0 0 1 0 0 0 0 1 < / N u m b e r >  
             < N a m e > I S S U E D   O F   U N I T S   A G A I N S T   S A L E   O F   U N I T S < / N a m e >  
             < A J E > 0 < / A J E >  
             < A d j u s t > - 3 2 < / A d j u s t >  
             < R J E > 0 < / R J E >  
             < P r e l i m i n a r y > - 3 2 < / P r e l i m i n a r y >  
             < F i n a l > - 3 2 < / 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 2 9 6 1 8 1 5 9 6 0 0 0 0 0 0 0 0 2 5 < / I D >  
             < T a r g e t A c c o u n t I D > 2 6 4 2 0 1 9 4 7 9 8 0 0 0 0 0 2 3 6 < / T a r g e t A c c o u n t I D >  
             < C h a r t I D > 2 6 4 2 0 1 9 4 7 9 8 0 0 0 0 0 2 3 1 < / C h a r t I D >  
             < I s L i n k e d > f a l s e < / I s L i n k e d >  
             < N u m b e r > 0 2 0 1 0 0 1 0 0 0 0 2 < / N u m b e r >  
             < N a m e > I S S U E D   O F   A D D I T I O N A L   U N I T S < / N a m e >  
             < A J E > 0 < / A J E >  
             < A d j u s t > 0 < / A d j u s t >  
             < R J E > 0 < / R J E >  
             < P r e l i m i n a r y > 0 < / P r e l i m i n a r y >  
             < F i n a l > 0 < / F i n a l >  
         < / A c c o u n t S t o r a g e >  
         < A c c o u n t S t o r a g e >  
             < A c c o u n t B a l a n c e s >  
                 < A c c o u n t B a l a n c e >  
                     < F i e l d N a m e > P r i o r P e r i o d 1 B a l a n c e < / F i e l d N a m e >  
                     < B a l a n c e > 2 1 2 0 8 3 < / B a l a n c e >  
                 < / A c c o u n t B a l a n c e >  
                 < A c c o u n t B a l a n c e >  
                     < F i e l d N a m e > P r i o r P e r i o d 2 B a l a n c e < / F i e l d N a m e >  
                     < B a l a n c e > 1 4 1 8 8 1 < / B a l a n c e >  
                 < / A c c o u n t B a l a n c e >  
                 < A c c o u n t B a l a n c e >  
                     < F i e l d N a m e > P r i o r P e r i o d 3 B a l a n c e < / F i e l d N a m e >  
                     < B a l a n c e > 4 4 4 1 8 9 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 2 6 4 2 0 1 9 4 7 9 8 0 0 0 0 0 3 8 2 < / I D >  
             < T a r g e t A c c o u n t I D > 2 6 4 2 0 1 9 4 7 9 8 0 0 0 0 0 2 3 6 < / T a r g e t A c c o u n t I D >  
             < C h a r t I D > 2 6 4 2 0 1 9 4 7 9 8 0 0 0 0 0 2 3 1 < / C h a r t I D >  
             < I s L i n k e d > f a l s e < / I s L i n k e d >  
             < N u m b e r > 0 2 0 1 0 0 2 0 0 0 0 1 < / N u m b e r >  
             < N a m e > R E D E M P T I O N   O F   U N I T S     N O R M A L < / N a m e >  
             < A J E > 0 < / A J E >  
             < A d j u s t > 4 0 5 7 6 < / A d j u s t >  
             < R J E > 0 < / R J E >  
             < P r e l i m i n a r y > 4 0 5 7 6 < / P r e l i m i n a r y >  
             < F i n a l > 4 0 5 7 6 < / F i n a l >  
         < / A c c o u n t S t o r a g e >  
         < A c c o u n t S t o r a g e >  
             < A c c o u n t B a l a n c e s >  
                 < A c c o u n t B a l a n c e >  
                     < F i e l d N a m e > P r i o r P e r i o d 1 B a l a n c e < / F i e l d N a m e >  
                     < B a l a n c e > - 6 0 4 < / B a l a n c e >  
                 < / A c c o u n t B a l a n c e >  
                 < A c c o u n t B a l a n c e >  
                     < F i e l d N a m e > P r i o r P e r i o d 2 B a l a n c e < / F i e l d N a m e >  
                     < B a l a n c e > - 6 0 4 < / B a l a n c e >  
                 < / A c c o u n t B a l a n c e >  
                 < A c c o u n t B a l a n c e >  
                     < F i e l d N a m e > P r i o r P e r i o d 3 B a l a n c e < / F i e l d N a m e >  
                     < B a l a n c e > - 7 3 5 6 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 2 6 4 2 0 1 9 4 7 9 8 0 0 0 0 0 3 8 3 < / I D >  
             < T a r g e t A c c o u n t I D > 2 6 4 2 0 1 9 4 7 9 8 0 0 0 0 0 2 3 6 < / T a r g e t A c c o u n t I D >  
             < C h a r t I D > 2 6 4 2 0 1 9 4 7 9 8 0 0 0 0 0 2 3 1 < / C h a r t I D >  
             < I s L i n k e d > f a l s e < / I s L i n k e d >  
             < N u m b e r > 0 2 0 1 0 0 3 0 0 0 0 1 < / N u m b e r >  
             < N a m e > C O N V E R S I O N   I N   U N I T S < / N a m e >  
             < A J E > 0 < / A J E >  
             < A d j u s t > 0 < / A d j u s t >  
             < R J E > 0 < / R J E >  
             < P r e l i m i n a r y > 0 < / P r e l i m i n a r y >  
             < F i n a l > 0 < / F i n a l >  
         < / A c c o u n t S t o r a g e >  
         < A c c o u n t S t o r a g e >  
             < A c c o u n t B a l a n c e s >  
                 < A c c o u n t B a l a n c e >  
                     < F i e l d N a m e > P r i o r P e r i o d 1 B a l a n c e < / F i e l d N a m e >  
                     < B a l a n c e > 2 9 9 9 2 < / B a l a n c e >  
                 < / A c c o u n t B a l a n c e >  
                 < A c c o u n t B a l a n c e >  
                     < F i e l d N a m e > P r i o r P e r i o d 2 B a l a n c e < / F i e l d N a m e >  
                     < B a l a n c e > 2 2 8 4 0 < / B a l a n c e >  
                 < / A c c o u n t B a l a n c e >  
                 < A c c o u n t B a l a n c e >  
                     < F i e l d N a m e > P r i o r P e r i o d 3 B a l a n c e < / F i e l d N a m e >  
                     < B a l a n c e > 3 2 7 3 7 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 2 6 4 2 0 1 9 4 7 9 8 0 0 0 0 0 3 8 7 < / I D >  
             < T a r g e t A c c o u n t I D > 2 6 4 2 0 1 9 4 7 9 8 0 0 0 0 0 2 3 6 < / T a r g e t A c c o u n t I D >  
             < C h a r t I D > 2 6 4 2 0 1 9 4 7 9 8 0 0 0 0 0 2 3 1 < / C h a r t I D >  
             < I s L i n k e d > f a l s e < / I s L i n k e d >  
             < N u m b e r > 0 2 0 1 0 0 4 0 0 0 0 1 < / N u m b e r >  
             < N a m e > C O N V E R S I O N   O U T   U N I T S < / N a m e >  
             < A J E > 0 < / A J E >  
             < A d j u s t > 3 4 0 1 8 < / A d j u s t >  
             < R J E > 0 < / R J E >  
             < P r e l i m i n a r y > 3 4 0 1 8 < / P r e l i m i n a r y >  
             < F i n a l > 3 4 0 1 8 < / F i n a l >  
         < / A c c o u n t S t o r a g e >  
         < A c c o u n t S t o r a g e >  
             < A c c o u n t B a l a n c e s >  
                 < A c c o u n t B a l a n c e >  
                     < F i e l d N a m e > P r i o r P e r i o d 1 B a l a n c e < / F i e l d N a m e >  
                     < B a l a n c e > - 1 9 5 9 < / B a l a n c e >  
                 < / A c c o u n t B a l a n c e >  
                 < A c c o u n t B a l a n c e >  
                     < F i e l d N a m e > P r i o r P e r i o d 2 B a l a n c e < / F i e l d N a m e >  
                     < B a l a n c e > - 1 3 2 5 < / B a l a n c e >  
                 < / A c c o u n t B a l a n c e >  
                 < A c c o u n t B a l a n c e >  
                     < F i e l d N a m e > P r i o r P e r i o d 3 B a l a n c e < / F i e l d N a m e >  
                     < B a l a n c e > - 5 7 9 4 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 2 6 4 2 0 1 9 4 7 9 8 0 0 0 0 0 3 9 2 < / I D >  
             < T a r g e t A c c o u n t I D > 2 6 4 2 0 1 9 4 7 9 8 0 0 0 0 0 2 3 6 < / T a r g e t A c c o u n t I D >  
             < C h a r t I D > 2 6 4 2 0 1 9 4 7 9 8 0 0 0 0 0 2 3 1 < / C h a r t I D >  
             < I s L i n k e d > f a l s e < / I s L i n k e d >  
             < N u m b e r > 0 2 0 2 0 0 2 0 0 0 0 1 < / N u m b e r >  
             < N a m e > E L E M E N T   O F   I N C O M E     U N R E A L I Z E D < / N a m e >  
             < A J E > 0 < / A J E >  
             < A d j u s t > - 1 5 3 0 < / A d j u s t >  
             < R J E > 0 < / R J E >  
             < P r e l i m i n a r y > - 1 5 3 0 < / P r e l i m i n a r y >  
             < F i n a l > - 1 5 3 0 < / F i n a l >  
         < / A c c o u n t S t o r a g e >  
         < A c c o u n t S t o r a g e >  
             < A c c o u n t B a l a n c e s >  
                 < A c c o u n t B a l a n c e >  
                     < F i e l d N a m e > P r i o r P e r i o d 1 B a l a n c e < / F i e l d N a m e >  
                     < B a l a n c e > - 4 8 6 5 5 1 < / B a l a n c e >  
                 < / A c c o u n t B a l a n c e >  
                 < A c c o u n t B a l a n c e >  
                     < F i e l d N a m e > P r i o r P e r i o d 2 B a l a n c e < / F i e l d N a m e >  
                     < B a l a n c e > - 4 8 6 5 5 1 < / B a l a n c e >  
                 < / A c c o u n t B a l a n c e >  
                 < A c c o u n t B a l a n c e >  
                     < F i e l d N a m e > P r i o r P e r i o d 3 B a l a n c e < / F i e l d N a m e >  
                     < B a l a n c e > - 8 9 9 5 9 6 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 2 6 4 2 0 1 9 4 7 9 8 0 0 0 0 0 3 9 9 < / I D >  
             < T a r g e t A c c o u n t I D > 2 6 4 2 0 1 9 4 7 9 8 0 0 0 0 0 2 3 6 < / T a r g e t A c c o u n t I D >  
             < C h a r t I D > 2 6 4 2 0 1 9 4 7 9 8 0 0 0 0 0 2 3 1 < / C h a r t I D >  
             < I s L i n k e d > f a l s e < / I s L i n k e d >  
             < N u m b e r > 0 2 0 5 0 0 1 0 0 0 0 1 < / N u m b e r >  
             < N a m e > B A L A N C E   A C C O U N T < / N a m e >  
             < A J E > 0 < / A J E >  
             < A d j u s t > - 2 5 3 5 1 1 < / A d j u s t >  
             < R J E > 0 < / R J E >  
             < P r e l i m i n a r y > - 2 5 3 5 1 1 < / P r e l i m i n a r y >  
             < F i n a l > - 2 5 3 5 1 1 < / F i n a l >  
         < / A c c o u n t S t o r a g e >  
         < A c c o u n t S t o r a g e >  
             < A c c o u n t B a l a n c e s >  
                 < A c c o u n t B a l a n c e >  
                     < F i e l d N a m e > P r i o r P e r i o d 1 B a l a n c e < / F i e l d N a m e >  
                     < B a l a n c e > - 9 1 7 < / B a l a n c e >  
                 < / A c c o u n t B a l a n c e >  
                 < A c c o u n t B a l a n c e >  
                     < F i e l d N a m e > P r i o r P e r i o d 2 B a l a n c e < / F i e l d N a m e >  
                     < B a l a n c e > - 3 7 9 < / B a l a n c e >  
                 < / A c c o u n t B a l a n c e >  
                 < A c c o u n t B a l a n c e >  
                     < F i e l d N a m e > P r i o r P e r i o d 3 B a l a n c e < / F i e l d N a m e >  
                     < B a l a n c e > 1 4 7 2 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 2 6 4 2 0 1 9 4 7 9 8 0 0 0 0 0 3 9 0 < / I D >  
             < T a r g e t A c c o u n t I D > 2 6 4 2 0 1 9 4 7 9 8 0 0 0 0 0 4 1 2 < / T a r g e t A c c o u n t I D >  
             < C h a r t I D > 2 6 4 2 0 1 9 4 7 9 8 0 0 0 0 0 2 3 1 < / C h a r t I D >  
             < I s L i n k e d > f a l s e < / I s L i n k e d >  
             < N u m b e r > 0 2 0 2 0 0 1 0 0 0 0 1 < / N u m b e r >  
             < N a m e > E L E M E N T   O F   I N C O M E     R E A L I Z E D < / N a m e >  
             < A J E > 0 < / A J E >  
             < A d j u s t > - 8 2 < / A d j u s t >  
             < R J E > 0 < / R J E >  
             < P r e l i m i n a r y > - 8 2 < / P r e l i m i n a r y >  
             < F i n a l > - 8 2 < / F i n a l >  
         < / A c c o u n t S t o r a g e >  
         < A c c o u n t S t o r a g e >  
             < A c c o u n t B a l a n c e s >  
                 < A c c o u n t B a l a n c e >  
                     < F i e l d N a m e > P r i o r P e r i o d 1 B a l a n c e < / F i e l d N a m e >  
                     < B a l a n c e > - 4 4 9 < / B a l a n c e >  
                 < / A c c o u n t B a l a n c e >  
                 < A c c o u n t B a l a n c e >  
                     < F i e l d N a m e > P r i o r P e r i o d 2 B a l a n c e < / F i e l d N a m e >  
                     < B a l a n c e > - 4 4 9 < / B a l a n c e >  
                 < / A c c o u n t B a l a n c e >  
                 < A c c o u n t B a l a n c e >  
                     < F i e l d N a m e > P r i o r P e r i o d 3 B a l a n c e < / F i e l d N a m e >  
                     < B a l a n c e > - 1 4 9 1 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 2 6 4 2 0 1 9 4 7 9 8 0 0 0 0 0 5 4 2 < / I D >  
             < T a r g e t A c c o u n t I D > 2 6 4 2 0 1 9 4 7 9 8 0 0 0 0 0 2 6 6 < / T a r g e t A c c o u n t I D >  
             < C h a r t I D > 2 6 4 2 0 1 9 4 7 9 8 0 0 0 0 0 2 3 1 < / C h a r t I D >  
             < I s L i n k e d > f a l s e < / I s L i n k e d >  
             < N u m b e r > 0 4 0 1 0 0 1 0 0 0 0 1 < / N u m b e r >  
             < N a m e > C A P I T A L   G A I N   /   ( L O S S )   O N   S A L E 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 7 5 0 < / B a l a n c e >  
                 < / A c c o u n t B a l a n c e >  
                 < A c c o u n t B a l a n c e >  
                     < F i e l d N a m e > P r i o r P e r i o d 2 B a l a n c e < / F i e l d N a m e >  
                     < B a l a n c e > 7 5 0 < / B a l a n c e >  
                 < / A c c o u n t B a l a n c e >  
                 < A c c o u n t B a l a n c e >  
                     < F i e l d N a m e > P r i o r P e r i o d 3 B a l a n c e < / F i e l d N a m e >  
                     < B a l a n c e > - 8 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 2 6 4 2 0 1 9 4 7 9 8 0 0 0 0 0 4 4 0 < / I D >  
             < T a r g e t A c c o u n t I D > 2 6 4 2 0 1 9 4 7 9 8 0 0 0 0 0 2 6 6 < / T a r g e t A c c o u n t I D >  
             < C h a r t I D > 2 6 4 2 0 1 9 4 7 9 8 0 0 0 0 0 2 3 1 < / C h a r t I D >  
             < I s L i n k e d > f a l s e < / I s L i n k e d >  
             < N u m b e r > 0 4 0 1 0 0 2 0 0 0 0 1 < / N u m b e r >  
             < N a m e > C A P I T A L   G A I N   /   ( L O S S )   O N   S A L E   O F   D E B T   S E C U R I T I E S < / N a m e >  
             < A J E > 0 < / A J E >  
             < A d j u s t > 1 4 7 < / A d j u s t >  
             < R J E > 0 < / R J E >  
             < P r e l i m i n a r y > 1 4 7 < / P r e l i m i n a r y >  
             < F i n a l > 1 4 7 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 2 6 4 2 0 1 9 4 7 9 8 0 0 0 0 0 4 4 1 < / I D >  
             < T a r g e t A c c o u n t I D > 2 6 4 2 0 1 9 4 7 9 8 0 0 0 0 0 2 6 6 < / T a r g e t A c c o u n t I D >  
             < C h a r t I D > 2 6 4 2 0 1 9 4 7 9 8 0 0 0 0 0 2 3 1 < / C h a r t I D >  
             < I s L i n k e d > f a l s e < / I s L i n k e d >  
             < N u m b e r > 0 4 0 1 0 0 3 0 0 0 0 1 < / N u m b e r >  
             < N a m e > C A P I T A L   G A I N   /   ( L O S S )   O N   S A L E   O F   P I B S < / N a m e >  
             < A J E > 0 < / A J E >  
             < A d j u s t > - 1 1 3 < / A d j u s t >  
             < R J E > 0 < / R J E >  
             < P r e l i m i n a r y > - 1 1 3 < / P r e l i m i n a r y >  
             < F i n a l > - 1 1 3 < / F i n a l >  
         < / A c c o u n t S t o r a g e >  
         < A c c o u n t S t o r a g e >  
             < A c c o u n t B a l a n c e s >  
                 < A c c o u n t B a l a n c e >  
                     < F i e l d N a m e > P r i o r P e r i o d 1 B a l a n c e < / F i e l d N a m e >  
                     < B a l a n c e > 2 4 7 < / B a l a n c e >  
                 < / A c c o u n t B a l a n c e >  
                 < A c c o u n t B a l a n c e >  
                     < F i e l d N a m e > P r i o r P e r i o d 2 B a l a n c e < / F i e l d N a m e >  
                     < B a l a n c e > 2 4 7 < / B a l a n c e >  
                 < / A c c o u n t B a l a n c e >  
                 < A c c o u n t B a l a n c e >  
                     < F i e l d N a m e > P r i o r P e r i o d 3 B a l a n c e < / F i e l d N a m e >  
                     < B a l a n c e > 2 6 3 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 2 6 4 2 0 1 9 4 7 9 8 0 0 0 0 0 4 4 4 < / I D >  
             < T a r g e t A c c o u n t I D > 2 6 4 2 0 1 9 4 7 9 8 0 0 0 0 0 2 6 6 < / T a r g e t A c c o u n t I D >  
             < C h a r t I D > 2 6 4 2 0 1 9 4 7 9 8 0 0 0 0 0 2 3 1 < / C h a r t I D >  
             < I s L i n k e d > f a l s e < / I s L i n k e d >  
             < N u m b e r > 0 4 0 1 0 0 4 0 0 0 0 1 < / N u m b e r >  
             < N a m e > C A P I T A L   G A I N   /   ( L O S S )   O N   S A L E   O F   T - B I L L S < / N a m e >  
             < A J E > 0 < / A J E >  
             < A d j u s t > - 1 6 1 < / A d j u s t >  
             < R J E > 0 < / R J E >  
             < P r e l i m i n a r y > - 1 6 1 < / P r e l i m i n a r y >  
             < F i n a l > - 1 6 1 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 2 6 4 2 0 1 9 4 7 9 8 0 0 0 0 0 5 7 5 < / I D >  
             < T a r g e t A c c o u n t I D > 2 6 4 2 0 1 9 4 7 9 8 0 0 0 0 0 4 3 2 < / T a r g e t A c c o u n t I D >  
             < C h a r t I D > 2 6 4 2 0 1 9 4 7 9 8 0 0 0 0 0 2 3 1 < / C h a r t I D >  
             < I s L i n k e d > f a l s e < / I s L i n k e d >  
             < N u m b e r > 0 4 0 1 0 1 3 0 0 0 0 1 < / N u m b e r >  
             < N a m e > U R G   /   L O S S   F U T U R E   E Q U I T I E S   T R A N S A C T I O N S 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 1 4 2 2 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 2 6 4 2 0 1 9 4 7 9 8 0 0 0 0 0 5 5 6 < / I D >  
             < T a r g e t A c c o u n t I D > 2 6 4 2 0 1 9 4 7 9 8 0 0 0 0 0 4 3 2 < / T a r g e t A c c o u n t I D >  
             < C h a r t I D > 2 6 4 2 0 1 9 4 7 9 8 0 0 0 0 0 2 3 1 < / C h a r t I D >  
             < I s L i n k e d > f a l s e < / I s L i n k e d >  
             < N u m b e r > 0 4 0 2 0 2 1 0 0 0 0 1 < / N u m b e r >  
             < N a m e > I n c o m e   O n   S p r e a d   T r a n s a c t i o n s < / N a m e >  
             < A J E > 0 < / A J E >  
             < A d j u s t > 0 < / A d j u s t >  
             < R J E > 0 < / R J E >  
             < P r e l i m i n a r y > 0 < / P r e l i m i n a r y >  
             < F i n a l > 0 < / F i n a l >  
         < / A c c o u n t S t o r a g e >  
         < A c c o u n t S t o r a g e >  
             < A c c o u n t B a l a n c e s >  
                 < A c c o u n t B a l a n c e >  
                     < F i e l d N a m e > P r i o r P e r i o d 1 B a l a n c e < / F i e l d N a m e >  
                     < B a l a n c e > - 3 3 5 3 < / B a l a n c e >  
                 < / A c c o u n t B a l a n c e >  
                 < A c c o u n t B a l a n c e >  
                     < F i e l d N a m e > P r i o r P e r i o d 2 B a l a n c e < / F i e l d N a m e >  
                     < B a l a n c e > - 3 3 5 3 < / B a l a n c e >  
                 < / A c c o u n t B a l a n c e >  
                 < A c c o u n t B a l a n c e >  
                     < F i e l d N a m e > P r i o r P e r i o d 3 B a l a n c e < / F i e l d N a m e >  
                     < B a l a n c e > - 4 5 8 5 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 2 6 4 2 0 1 9 4 7 9 8 0 0 0 0 0 4 6 0 < / I D >  
             < T a r g e t A c c o u n t I D > 2 6 4 2 0 1 9 4 7 9 8 0 0 0 0 0 2 6 0 < / T a r g e t A c c o u n t I D >  
             < C h a r t I D > 2 6 4 2 0 1 9 4 7 9 8 0 0 0 0 0 2 3 1 < / C h a r t I D >  
             < I s L i n k e d > f a l s e < / I s L i n k e d >  
             < N u m b e r > 0 4 0 2 0 0 3 0 0 0 0 1 < / N u m b e r >  
             < N a m e > I N C O M E   O N   T F C < / N a m e >  
             < A J E > 0 < / A J E >  
             < A d j u s t > - 4 2 8 0 < / A d j u s t >  
             < R J E > 0 < / R J E >  
             < P r e l i m i n a r y > - 4 2 8 0 < / P r e l i m i n a r y >  
             < F i n a l > - 4 2 8 0 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 2 6 4 2 0 1 9 4 7 9 8 0 0 0 0 0 4 6 1 < / I D >  
             < T a r g e t A c c o u n t I D > 2 6 4 2 0 1 9 4 7 9 8 0 0 0 0 0 2 6 0 < / T a r g e t A c c o u n t I D >  
             < C h a r t I D > 2 6 4 2 0 1 9 4 7 9 8 0 0 0 0 0 2 3 1 < / C h a r t I D >  
             < I s L i n k e d > f a l s e < / I s L i n k e d >  
             < N u m b e r > 0 4 0 2 0 0 3 0 0 0 0 2 < / N u m b e r >  
             < N a m e > I N C O M E   O N   T F C < / 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 2 6 4 2 0 1 9 4 7 9 8 0 0 0 0 0 4 6 3 < / I D >  
             < T a r g e t A c c o u n t I D > 2 6 4 2 0 1 9 4 7 9 8 0 0 0 0 0 2 6 0 < / T a r g e t A c c o u n t I D >  
             < C h a r t I D > 2 6 4 2 0 1 9 4 7 9 8 0 0 0 0 0 2 3 1 < / C h a r t I D >  
             < I s L i n k e d > f a l s e < / I s L i n k e d >  
             < N u m b e r > 0 4 0 2 0 1 4 0 0 0 0 1 < / N u m b e r >  
             < N a m e > A M O R T I Z A T I O N   /   D I S C O U N T   O N   D E B T   S E C U R I T I E S   -   T F C < / N a m e >  
             < A J E > 0 < / A J E >  
             < A d j u s t > - 6 < / A d j u s t >  
             < R J E > 0 < / R J E >  
             < P r e l i m i n a r y > - 6 < / P r e l i m i n a r y >  
             < F i n a l > - 6 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 2 6 4 2 0 1 9 4 7 9 8 0 0 0 0 0 4 7 0 < / I D >  
             < T a r g e t A c c o u n t I D > 2 6 4 2 0 1 9 4 7 9 8 0 0 0 0 0 2 6 0 < / T a r g e t A c c o u n t I D >  
             < C h a r t I D > 2 6 4 2 0 1 9 4 7 9 8 0 0 0 0 0 2 3 1 < / C h a r t I D >  
             < I s L i n k e d > f a l s e < / I s L i n k e d >  
             < N u m b e r > 0 4 0 7 0 0 2 0 0 1 < / N u m b e r >  
             < N a m e > P r o v i s i o n   A g a i n s t   D e b t   S e c u r i t i e s     A c c r u e d   M a r k u p < / 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 2 6 4 2 0 1 9 4 7 9 8 0 0 0 0 0 4 8 2 < / I D >  
             < T a r g e t A c c o u n t I D > 2 6 4 2 0 1 9 4 7 9 8 0 0 0 0 0 2 6 0 < / T a r g e t A c c o u n t I D >  
             < C h a r t I D > 2 6 4 2 0 1 9 4 7 9 8 0 0 0 0 0 2 3 1 < / C h a r t I D >  
             < I s L i n k e d > f a l s e < / I s L i n k e d >  
             < N u m b e r > 0 5 0 4 0 0 2 0 0 0 0 1 < / N u m b e r >  
             < N a m e > P R O V I S I O N   A G A I N S T   D E B T   S E C U R I T I E S     A C C R U E D   M A R K U P < / 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 2 6 4 2 0 1 9 4 7 9 8 0 0 0 0 0 4 6 2 < / I D >  
             < T a r g e t A c c o u n t I D > 2 6 4 2 0 1 9 4 7 9 8 0 0 0 0 0 2 4 5 < / T a r g e t A c c o u n t I D >  
             < C h a r t I D > 2 6 4 2 0 1 9 4 7 9 8 0 0 0 0 0 2 3 1 < / C h a r t I D >  
             < I s L i n k e d > f a l s e < / I s L i n k e d >  
             < N u m b e r > 0 4 0 2 0 0 4 0 0 0 0 1 < / N u m b e r >  
             < N a m e > I N C O M E   O N   G O V T   S E C T Y   P I B S 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 2 6 4 2 0 1 9 4 7 9 8 0 0 0 0 0 5 5 4 < / I D >  
             < T a r g e t A c c o u n t I D > 2 6 4 2 0 1 9 4 7 9 8 0 0 0 0 0 2 4 5 < / T a r g e t A c c o u n t I D >  
             < C h a r t I D > 2 6 4 2 0 1 9 4 7 9 8 0 0 0 0 0 2 3 1 < / C h a r t I D >  
             < I s L i n k e d > f a l s e < / I s L i n k e d >  
             < N u m b e r > 0 4 0 2 0 1 5 0 0 0 0 2 < / N u m b e r >  
             < N a m e > D i s c o u n t   I n c o m e   O n   G o v t   S e c u r i t y   P i b s < / N a m e >  
             < A J E > 0 < / A J E >  
             < A d j u s t > 0 < / A d j u s t >  
             < R J E > 0 < / R J E >  
             < P r e l i m i n a r y > 0 < / P r e l i m i n a r y >  
             < F i n a l > 0 < / F i n a l >  
         < / A c c o u n t S t o r a g e >  
         < A c c o u n t S t o r a g e >  
             < A c c o u n t B a l a n c e s >  
                 < A c c o u n t B a l a n c e >  
                     < F i e l d N a m e > P r i o r P e r i o d 1 B a l a n c e < / F i e l d N a m e >  
                     < B a l a n c e > - 3 6 6 4 < / B a l a n c e >  
                 < / A c c o u n t B a l a n c e >  
                 < A c c o u n t B a l a n c e >  
                     < F i e l d N a m e > P r i o r P e r i o d 2 B a l a n c e < / F i e l d N a m e >  
                     < B a l a n c e > - 3 6 6 4 < / B a l a n c e >  
                 < / A c c o u n t B a l a n c e >  
                 < A c c o u n t B a l a n c e >  
                     < F i e l d N a m e > P r i o r P e r i o d 3 B a l a n c e < / F i e l d N a m e >  
                     < B a l a n c e > - 1 0 5 9 8 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 2 6 4 2 0 1 9 4 7 9 8 0 0 0 0 0 4 6 4 < / I D >  
             < T a r g e t A c c o u n t I D > 2 6 4 2 0 1 9 4 7 9 8 0 0 0 0 0 2 4 5 < / T a r g e t A c c o u n t I D >  
             < C h a r t I D > 2 6 4 2 0 1 9 4 7 9 8 0 0 0 0 0 2 3 1 < / C h a r t I D >  
             < I s L i n k e d > f a l s e < / I s L i n k e d >  
             < N u m b e r > 0 4 0 2 0 1 6 0 0 0 0 1 < / N u m b e r >  
             < N a m e > A M O R T I Z A T I O N   /   D I S C O U N T   O N   G O V T   S E C   B I L L S S < / N a m e >  
             < A J E > 0 < / A J E >  
             < A d j u s t > - 3 0 0 7 < / A d j u s t >  
             < R J E > 0 < / R J E >  
             < P r e l i m i n a r y > - 3 0 0 7 < / P r e l i m i n a r y >  
             < F i n a l > - 3 0 0 7 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 2 6 4 2 0 1 9 4 7 9 8 0 0 0 0 0 5 6 0 < / I D >  
             < T a r g e t A c c o u n t I D > 2 6 4 2 0 1 9 4 7 9 8 0 0 0 0 0 2 4 5 < / T a r g e t A c c o u n t I D >  
             < C h a r t I D > 2 6 4 2 0 1 9 4 7 9 8 0 0 0 0 0 2 3 1 < / C h a r t I D >  
             < I s L i n k e d > f a l s e < / I s L i n k e d >  
             < N u m b e r > 0 5 0 3 0 0 3 0 0 0 4 < / N u m b e r >  
             < N a m e > P r e m i u m   A m o r t i z a t i o n   O f   P i b s 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 - 8 6 4 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 2 9 6 1 8 1 5 9 6 0 0 0 0 0 0 0 0 1 6 < / I D >  
             < T a r g e t A c c o u n t I D > 2 6 4 2 0 1 9 4 7 9 8 0 0 0 0 0 3 4 4 < / T a r g e t A c c o u n t I D >  
             < C h a r t I D > 2 6 4 2 0 1 9 4 7 9 8 0 0 0 0 0 2 3 1 < / C h a r t I D >  
             < I s L i n k e d > f a l s e < / I s L i n k e d >  
             < N u m b e r > 0 4 0 2 0 0 9 0 0 0 0 1 < / N u m b e r >  
             < N a m e > I N C O M E   O N   C L E A N   P L A C E M E N T S 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 2 6 4 2 0 1 9 4 7 9 8 0 0 0 0 0 5 8 7 < / I D >  
             < T a r g e t A c c o u n t I D > 2 6 4 2 0 1 9 4 7 9 8 0 0 0 0 0 5 9 0 < / T a r g e t A c c o u n t I D >  
             < C h a r t I D > 2 6 4 2 0 1 9 4 7 9 8 0 0 0 0 0 2 3 1 < / C h a r t I D >  
             < I s L i n k e d > f a l s e < / I s L i n k e d >  
             < N u m b e r > 0 4 0 2 0 1 2 0 0 0 0 1 < / N u m b e r >  
             < N a m e > I N C O M E   O N   C O M M E R C I A L   P A P E R S 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 - 2 1 5 2 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 2 6 4 2 0 1 9 4 7 9 8 0 0 0 0 0 5 5 5 < / I D >  
             < T a r g e t A c c o u n t I D > 2 6 4 2 0 1 9 4 7 9 8 0 0 0 0 0 5 9 0 < / T a r g e t A c c o u n t I D >  
             < C h a r t I D > 2 6 4 2 0 1 9 4 7 9 8 0 0 0 0 0 2 3 1 < / C h a r t I D >  
             < I s L i n k e d > f a l s e < / I s L i n k e d >  
             < N u m b e r > 0 4 0 2 0 1 9 0 0 0 0 1 < / N u m b e r >  
             < N a m e > A M O R T I Z A T I O N   /   D I S C O U N T   O N   C O M M E R C I A L   P A P E R S 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 - 5 4 1 4 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 2 6 4 2 0 1 9 4 7 9 8 0 0 0 0 0 4 5 9 < / I D >  
             < T a r g e t A c c o u n t I D > 2 6 4 2 0 1 9 4 7 9 8 0 0 0 0 0 2 6 9 < / T a r g e t A c c o u n t I D >  
             < C h a r t I D > 2 6 4 2 0 1 9 4 7 9 8 0 0 0 0 0 2 3 1 < / C h a r t I D >  
             < I s L i n k e d > f a l s e < / I s L i n k e d >  
             < N u m b e r > 0 4 0 2 0 0 2 0 0 0 0 1 < / N u m b e r >  
             < N a m e > R E T U R N   O N   T E R M   D E P O S I T   A C C O U N T S < / 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 - 1 5 9 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 2 6 4 2 0 1 9 4 7 9 8 0 0 0 0 0 4 6 5 < / I D >  
             < T a r g e t A c c o u n t I D > 2 6 4 2 0 1 9 4 7 9 8 0 0 0 0 0 2 9 3 < / T a r g e t A c c o u n t I D >  
             < C h a r t I D > 2 6 4 2 0 1 9 4 7 9 8 0 0 0 0 0 2 3 1 < / C h a r t I D >  
             < I s L i n k e d > f a l s e < / I s L i n k e d >  
             < N u m b e r > 0 4 0 3 0 0 1 0 0 0 0 1 < / N u m b e r >  
             < N a m e > I N C O M E   O N   N C C P L   D E P O S I T   A G A I N S T   E X P O S U R E   M A R G I N < / N a m e >  
             < A J E > 0 < / A J E >  
             < A d j u s t > - 1 9 4 < / A d j u s t >  
             < R J E > 0 < / R J E >  
             < P r e l i m i n a r y > - 1 9 4 < / P r e l i m i n a r y >  
             < F i n a l > - 1 9 4 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 2 6 4 2 0 1 9 4 7 9 8 0 0 0 0 0 4 6 6 < / I D >  
             < T a r g e t A c c o u n t I D > 2 6 4 2 0 1 9 4 7 9 8 0 0 0 0 0 2 9 7 < / T a r g e t A c c o u n t I D >  
             < C h a r t I D > 2 6 4 2 0 1 9 4 7 9 8 0 0 0 0 0 2 3 1 < / C h a r t I D >  
             < I s L i n k e d > f a l s e < / I s L i n k e d >  
             < N u m b e r > 0 4 0 3 0 0 3 0 0 0 0 1 < / N u m b e r >  
             < N a m e > O T H E R   I N C O M E < / N a m e >  
             < A J E > 0 < / A J E >  
             < A d j u s t > 0 < / A d j u s t >  
             < R J E > 0 < / R J E >  
             < P r e l i m i n a r y > 0 < / P r e l i m i n a r y >  
             < F i n a l > 0 < / F i n a l >  
         < / A c c o u n t S t o r a g e >  
         < A c c o u n t S t o r a g e >  
             < A c c o u n t B a l a n c e s >  
                 < A c c o u n t B a l a n c e >  
                     < F i e l d N a m e > P r i o r P e r i o d 1 B a l a n c e < / F i e l d N a m e >  
                     < B a l a n c e > - 1 7 9 < / B a l a n c e >  
                 < / A c c o u n t B a l a n c e >  
                 < A c c o u n t B a l a n c e >  
                     < F i e l d N a m e > P r i o r P e r i o d 2 B a l a n c e < / F i e l d N a m e >  
                     < B a l a n c e > - 1 7 9 < / B a l a n c e >  
                 < / A c c o u n t B a l a n c e >  
                 < A c c o u n t B a l a n c e >  
                     < F i e l d N a m e > P r i o r P e r i o d 3 B a l a n c e < / F i e l d N a m e >  
                     < B a l a n c e > - 1 9 0 9 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 2 6 4 2 0 1 9 4 7 9 8 0 0 0 0 0 5 5 7 < / I D >  
             < T a r g e t A c c o u n t I D > 2 6 4 2 0 1 9 4 7 9 8 0 0 0 0 0 2 9 7 < / T a r g e t A c c o u n t I D >  
             < C h a r t I D > 2 6 4 2 0 1 9 4 7 9 8 0 0 0 0 0 2 3 1 < / C h a r t I D >  
             < I s L i n k e d > f a l s e < / I s L i n k e d >  
             < N u m b e r > 0 4 0 8 0 0 9 0 0 0 9 < / N u m b e r >  
             < N a m e > M a r k u p   I n c o m e   O n   M t s < / N a m e >  
             < A J E > 0 < / A J E >  
             < A d j u s t > 0 < / A d j u s t >  
             < R J E > 0 < / R J E >  
             < P r e l i m i n a r y > 0 < / P r e l i m i n a r y >  
             < F i n a l > 0 < / F i n a l >  
         < / A c c o u n t S t o r a g e >  
         < A c c o u n t S t o r a g e >  
             < A c c o u n t B a l a n c e s >  
                 < A c c o u n t B a l a n c e >  
                     < F i e l d N a m e > P r i o r P e r i o d 1 B a l a n c e < / F i e l d N a m e >  
                     < B a l a n c e > - 1 0 8 2 < / B a l a n c e >  
                 < / A c c o u n t B a l a n c e >  
                 < A c c o u n t B a l a n c e >  
                     < F i e l d N a m e > P r i o r P e r i o d 2 B a l a n c e < / F i e l d N a m e >  
                     < B a l a n c e > - 1 0 8 2 < / B a l a n c e >  
                 < / A c c o u n t B a l a n c e >  
                 < A c c o u n t B a l a n c e >  
                     < F i e l d N a m e > P r i o r P e r i o d 3 B a l a n c e < / F i e l d N a m e >  
                     < B a l a n c e > - 3 2 1 6 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 2 6 4 2 0 1 9 4 7 9 8 0 0 0 0 0 5 4 5 < / I D >  
             < T a r g e t A c c o u n t I D > 2 6 4 2 0 1 9 4 7 9 8 0 0 0 0 0 2 6 3 < / T a r g e t A c c o u n t I D >  
             < C h a r t I D > 2 6 4 2 0 1 9 4 7 9 8 0 0 0 0 0 2 3 1 < / C h a r t I D >  
             < I s L i n k e d > f a l s e < / I s L i n k e d >  
             < N u m b e r > 0 4 0 2 0 0 1 0 0 0 0 1 < / N u m b e r >  
             < N a m e > P R O F I T   O N   -   A L L I E D   B A N K   L I M I T E D   -   F O R E I G N   E X C H A N G E   B R A N C H < / N a m e >  
             < A J E > 0 < / A J E >  
             < A d j u s t > - 9 4 3 < / A d j u s t >  
             < R J E > 0 < / R J E >  
             < P r e l i m i n a r y > - 9 4 3 < / P r e l i m i n a r y >  
             < F i n a l > - 9 4 3 < / F i n a l >  
         < / A c c o u n t S t o r a g e >  
         < A c c o u n t S t o r a g e >  
             < A c c o u n t B a l a n c e s >  
                 < A c c o u n t B a l a n c e >  
                     < F i e l d N a m e > P r i o r P e r i o d 1 B a l a n c e < / F i e l d N a m e >  
                     < B a l a n c e > - 2 8 1 < / B a l a n c e >  
                 < / A c c o u n t B a l a n c e >  
                 < A c c o u n t B a l a n c e >  
                     < F i e l d N a m e > P r i o r P e r i o d 2 B a l a n c e < / F i e l d N a m e >  
                     < B a l a n c e > - 2 8 1 < / B a l a n c e >  
                 < / A c c o u n t B a l a n c e >  
                 < A c c o u n t B a l a n c e >  
                     < F i e l d N a m e > P r i o r P e r i o d 3 B a l a n c e < / F i e l d N a m e >  
                     < B a l a n c e > - 1 5 8 3 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 2 6 4 2 0 1 9 4 7 9 8 0 0 0 0 0 4 5 1 < / I D >  
             < T a r g e t A c c o u n t I D > 2 6 4 2 0 1 9 4 7 9 8 0 0 0 0 0 2 6 3 < / T a r g e t A c c o u n t I D >  
             < C h a r t I D > 2 6 4 2 0 1 9 4 7 9 8 0 0 0 0 0 2 3 1 < / C h a r t I D >  
             < I s L i n k e d > f a l s e < / I s L i n k e d >  
             < N u m b e r > 0 4 0 2 0 0 1 0 0 0 0 5 < / N u m b e r >  
             < N a m e > P R O F I T   O N   -   B A N K   A L   F A L A H   L I M I T E D     -   K S E   B R A N C H < / N a m e >  
             < A J E > 0 < / A J E >  
             < A d j u s t > - 2 5 1 < / A d j u s t >  
             < R J E > 0 < / R J E >  
             < P r e l i m i n a r y > - 2 5 1 < / P r e l i m i n a r y >  
             < F i n a l > - 2 5 1 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 2 6 4 2 0 1 9 4 7 9 8 0 0 0 0 0 4 5 2 < / I D >  
             < T a r g e t A c c o u n t I D > 2 6 4 2 0 1 9 4 7 9 8 0 0 0 0 0 2 6 3 < / T a r g e t A c c o u n t I D >  
             < C h a r t I D > 2 6 4 2 0 1 9 4 7 9 8 0 0 0 0 0 2 3 1 < / C h a r t I D >  
             < I s L i n k e d > f a l s e < / I s L i n k e d >  
             < N u m b e r > 0 4 0 2 0 0 1 0 0 0 1 1 < / N u m b e r >  
             < N a m e > P r o f i t   O n   -   F a y s a l   B a n k   L i m i t e d   -   G u l s h a n   E   I q b a l   B r a n c h < / N a m e >  
             < A J E > 0 < / A J E >  
             < A d j u s t > 0 < / A d j u s t >  
             < R J E > 0 < / R J E >  
             < P r e l i m i n a r y > 0 < / P r e l i m i n a r y >  
             < F i n a l > 0 < / F i n a l >  
         < / A c c o u n t S t o r a g e >  
         < A c c o u n t S t o r a g e >  
             < A c c o u n t B a l a n c e s >  
                 < A c c o u n t B a l a n c e >  
                     < F i e l d N a m e > P r i o r P e r i o d 1 B a l a n c e < / F i e l d N a m e >  
                     < B a l a n c e > - 3 0 < / B a l a n c e >  
                 < / A c c o u n t B a l a n c e >  
                 < A c c o u n t B a l a n c e >  
                     < F i e l d N a m e > P r i o r P e r i o d 2 B a l a n c e < / F i e l d N a m e >  
                     < B a l a n c e > - 3 0 < / B a l a n c e >  
                 < / A c c o u n t B a l a n c e >  
                 < A c c o u n t B a l a n c e >  
                     < F i e l d N a m e > P r i o r P e r i o d 3 B a l a n c e < / F i e l d N a m e >  
                     < B a l a n c e > - 1 9 1 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 2 6 4 2 0 1 9 4 7 9 8 0 0 0 0 0 4 5 3 < / I D >  
             < T a r g e t A c c o u n t I D > 2 6 4 2 0 1 9 4 7 9 8 0 0 0 0 0 2 6 3 < / T a r g e t A c c o u n t I D >  
             < C h a r t I D > 2 6 4 2 0 1 9 4 7 9 8 0 0 0 0 0 2 3 1 < / C h a r t I D >  
             < I s L i n k e d > f a l s e < / I s L i n k e d >  
             < N u m b e r > 0 4 0 2 0 0 1 0 0 0 1 4 < / N u m b e r >  
             < N a m e > P r o f i t   O n   -   H a b i b   M e t r o p o l i t a n   B a n k   L i m i t e d   -   K a r a c h i   S t o c k   E x c h a n g e   B r a n c h < / N a m e >  
             < A J E > 0 < / A J E >  
             < A d j u s t > - 6 0 7 < / A d j u s t >  
             < R J E > 0 < / R J E >  
             < P r e l i m i n a r y > - 6 0 7 < / P r e l i m i n a r y >  
             < F i n a l > - 6 0 7 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 2 6 4 2 0 1 9 4 7 9 8 0 0 0 0 0 4 5 4 < / I D >  
             < T a r g e t A c c o u n t I D > 2 6 4 2 0 1 9 4 7 9 8 0 0 0 0 0 2 6 3 < / T a r g e t A c c o u n t I D >  
             < C h a r t I D > 2 6 4 2 0 1 9 4 7 9 8 0 0 0 0 0 2 3 1 < / C h a r t I D >  
             < I s L i n k e d > f a l s e < / I s L i n k e d >  
             < N u m b e r > 0 4 0 2 0 0 1 0 0 0 1 5 < / N u m b e r >  
             < N a m e > P r o f i t   O n   -   H a b i b   M e t r o p o l i t a n 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 2 6 4 2 0 1 9 4 7 9 8 0 0 0 0 0 4 5 5 < / I D >  
             < T a r g e t A c c o u n t I D > 2 6 4 2 0 1 9 4 7 9 8 0 0 0 0 0 2 6 3 < / T a r g e t A c c o u n t I D >  
             < C h a r t I D > 2 6 4 2 0 1 9 4 7 9 8 0 0 0 0 0 2 3 1 < / C h a r t I D >  
             < I s L i n k e d > f a l s e < / I s L i n k e d >  
             < N u m b e r > 0 4 0 2 0 0 1 0 0 0 1 7 < / N u m b e r >  
             < N a m e > P r o f i t   O n   -   M c b   B a n k   L i m i t e d   -   U n i   T o w e r   B r a n c h < / N a m e >  
             < A J E > 0 < / A J E >  
             < A d j u s t > 0 < / A d j u s t >  
             < R J E > 0 < / R J E >  
             < P r e l i m i n a r y > 0 < / P r e l i m i n a r y >  
             < F i n a l > 0 < / F i n a l >  
         < / A c c o u n t S t o r a g e >  
         < A c c o u n t S t o r a g e >  
             < A c c o u n t B a l a n c e s >  
                 < A c c o u n t B a l a n c e >  
                     < F i e l d N a m e > P r i o r P e r i o d 1 B a l a n c e < / F i e l d N a m e >  
                     < B a l a n c e > - 3 2 < / B a l a n c e >  
                 < / A c c o u n t B a l a n c e >  
                 < A c c o u n t B a l a n c e >  
                     < F i e l d N a m e > P r i o r P e r i o d 2 B a l a n c e < / F i e l d N a m e >  
                     < B a l a n c e > - 3 2 < / B a l a n c e >  
                 < / A c c o u n t B a l a n c e >  
                 < A c c o u n t B a l a n c e >  
                     < F i e l d N a m e > P r i o r P e r i o d 3 B a l a n c e < / F i e l d N a m e >  
                     < B a l a n c e > - 9 3 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 2 6 4 2 0 1 9 4 7 9 8 0 0 0 0 0 4 5 6 < / I D >  
             < T a r g e t A c c o u n t I D > 2 6 4 2 0 1 9 4 7 9 8 0 0 0 0 0 2 6 3 < / T a r g e t A c c o u n t I D >  
             < C h a r t I D > 2 6 4 2 0 1 9 4 7 9 8 0 0 0 0 0 2 3 1 < / C h a r t I D >  
             < I s L i n k e d > f a l s e < / I s L i n k e d >  
             < N u m b e r > 0 4 0 2 0 0 1 0 0 0 2 1 < / N u m b e r >  
             < N a m e > P r o f i t   O n   -   M c b   B a n k   L i m i t e d   -   S h a h e e n   C o m p l e x   B r a n c h < / N a m e >  
             < A J E > 0 < / A J E >  
             < A d j u s t > - 1 6 2 < / A d j u s t >  
             < R J E > 0 < / R J E >  
             < P r e l i m i n a r y > - 1 6 2 < / P r e l i m i n a r y >  
             < F i n a l > - 1 6 2 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 2 9 6 1 8 1 5 9 6 0 0 0 0 0 0 0 0 1 3 < / I D >  
             < T a r g e t A c c o u n t I D > 2 6 4 2 0 1 9 4 7 9 8 0 0 0 0 0 2 6 3 < / T a r g e t A c c o u n t I D >  
             < C h a r t I D > 2 6 4 2 0 1 9 4 7 9 8 0 0 0 0 0 2 3 1 < / C h a r t I D >  
             < I s L i n k e d > f a l s e < / I s L i n k e d >  
             < N u m b e r > 0 4 0 2 0 0 1 0 0 0 2 6 < / N u m b e r >  
             < N a m e > P r o f i t   O n   -   N i b 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 2 6 4 2 0 1 9 4 7 9 8 0 0 0 0 0 4 5 7 < / I D >  
             < T a r g e t A c c o u n t I D > 2 6 4 2 0 1 9 4 7 9 8 0 0 0 0 0 2 6 3 < / T a r g e t A c c o u n t I D >  
             < C h a r t I D > 2 6 4 2 0 1 9 4 7 9 8 0 0 0 0 0 2 3 1 < / C h a r t I D >  
             < I s L i n k e d > f a l s e < / I s L i n k e d >  
             < N u m b e r > 0 4 0 2 0 0 1 0 0 0 2 7 < / N u m b e r >  
             < N a m e > P r o f i t   O n 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 2 6 4 2 0 1 9 4 7 9 8 0 0 0 0 0 5 0 6 < / I D >  
             < T a r g e t A c c o u n t I D > 2 6 4 2 0 1 9 4 7 9 8 0 0 0 0 0 2 6 3 < / T a r g e t A c c o u n t I D >  
             < C h a r t I D > 2 6 4 2 0 1 9 4 7 9 8 0 0 0 0 0 2 3 1 < / C h a r t I D >  
             < I s L i n k e d > f a l s e < / I s L i n k e d >  
             < N u m b e r > 0 4 0 2 0 0 1 0 0 0 2 9 < / N u m b e r >  
             < N a m e > P R O F I T   O N   -   S T A N D A R D   C H A R T E R E D 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 2 6 4 2 0 1 9 4 7 9 8 0 0 0 0 0 4 5 8 < / I D >  
             < T a r g e t A c c o u n t I D > 2 6 4 2 0 1 9 4 7 9 8 0 0 0 0 0 2 6 3 < / T a r g e t A c c o u n t I D >  
             < C h a r t I D > 2 6 4 2 0 1 9 4 7 9 8 0 0 0 0 0 2 3 1 < / C h a r t I D >  
             < I s L i n k e d > f a l s e < / I s L i n k e d >  
             < N u m b e r > 0 4 0 2 0 0 1 0 0 0 3 4 < / N u m b e r >  
             < N a m e > P r o f i t   O n   -   U n i t e d   B a n k   L i m i t e d   -   C o r p o r a t e 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 2 6 4 2 0 1 9 4 7 9 8 0 0 0 0 0 5 4 6 < / I D >  
             < T a r g e t A c c o u n t I D > 2 6 4 2 0 1 9 4 7 9 8 0 0 0 0 0 2 6 3 < / T a r g e t A c c o u n t I D >  
             < C h a r t I D > 2 6 4 2 0 1 9 4 7 9 8 0 0 0 0 0 2 3 1 < / C h a r t I D >  
             < I s L i n k e d > f a l s e < / I s L i n k e d >  
             < N u m b e r > 0 4 0 2 0 0 1 0 0 0 6 9 < / N u m b e r >  
             < N a m e > P r o f i t   O n   -   B a n k   A l   H a b i b 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 2 9 6 1 8 1 5 9 6 0 0 0 0 0 0 0 0 1 4 < / I D >  
             < T a r g e t A c c o u n t I D > 2 6 4 2 0 1 9 4 7 9 8 0 0 0 0 0 2 6 3 < / T a r g e t A c c o u n t I D >  
             < C h a r t I D > 2 6 4 2 0 1 9 4 7 9 8 0 0 0 0 0 2 3 1 < / C h a r t I D >  
             < I s L i n k e d > f a l s e < / I s L i n k e d >  
             < N u m b e r > 0 4 0 2 0 0 1 0 0 0 7 1 < / N u m b e r >  
             < N a m e > P r o f i t   O n   -   W a s e e l a   M i r c o f i n a n c e   B a n k   L i m i t e d   -   N i c e   T r a d e   O r b i t 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 - 3 4 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 2 6 4 2 0 1 9 4 7 9 8 0 0 0 0 0 5 4 7 < / I D >  
             < T a r g e t A c c o u n t I D > 2 6 4 2 0 1 9 4 7 9 8 0 0 0 0 0 2 6 3 < / T a r g e t A c c o u n t I D >  
             < C h a r t I D > 2 6 4 2 0 1 9 4 7 9 8 0 0 0 0 0 2 3 1 < / C h a r t I D >  
             < I s L i n k e d > f a l s e < / I s L i n k e d >  
             < N u m b e r > 0 4 0 2 0 0 1 0 0 0 7 2 < / N u m b e r >  
             < N a m e > P r o f i t   O n   -   Z a r a i   T a r a q i a t i   B a n k   L i m i t e d   -   S h a f i   C o u r t   B r a n c h < / N a m e >  
             < A J E > 0 < / A J E >  
             < A d j u s t > - 1 < / A d j u s t >  
             < R J E > 0 < / R J E >  
             < P r e l i m i n a r y > - 1 < / P r e l i m i n a r y >  
             < F i n a l > - 1 < / F i n a l >  
         < / A c c o u n t S t o r a g e >  
         < A c c o u n t S t o r a g e >  
             < A c c o u n t B a l a n c e s >  
                 < A c c o u n t B a l a n c e >  
                     < F i e l d N a m e > P r i o r P e r i o d 1 B a l a n c e < / F i e l d N a m e >  
                     < B a l a n c e > - 1 4 7 2 < / B a l a n c e >  
                 < / A c c o u n t B a l a n c e >  
                 < A c c o u n t B a l a n c e >  
                     < F i e l d N a m e > P r i o r P e r i o d 2 B a l a n c e < / F i e l d N a m e >  
                     < B a l a n c e > - 1 4 7 2 < / B a l a n c e >  
                 < / A c c o u n t B a l a n c e >  
                 < A c c o u n t B a l a n c e >  
                     < F i e l d N a m e > P r i o r P e r i o d 3 B a l a n c e < / F i e l d N a m e >  
                     < B a l a n c e > - 2 9 0 1 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 2 6 4 2 0 1 9 4 7 9 8 0 0 0 0 0 5 4 8 < / I D >  
             < T a r g e t A c c o u n t I D > 2 6 4 2 0 1 9 4 7 9 8 0 0 0 0 0 2 6 3 < / T a r g e t A c c o u n t I D >  
             < C h a r t I D > 2 6 4 2 0 1 9 4 7 9 8 0 0 0 0 0 2 3 1 < / C h a r t I D >  
             < I s L i n k e d > f a l s e < / I s L i n k e d >  
             < N u m b e r > 0 4 0 2 0 0 1 0 0 0 7 5 < / N u m b e r >  
             < N a m e > P r o f i t   O n   -   J s   B a n k   L i m i t e d   -   O c e a n   T o w e r ,   C l i f t o n   B r a n c h < / N a m e >  
             < A J E > 0 < / A J E >  
             < A d j u s t > - 1 1 4 0 < / A d j u s t >  
             < R J E > 0 < / R J E >  
             < P r e l i m i n a r y > - 1 1 4 0 < / P r e l i m i n a r y >  
             < F i n a l > - 1 1 4 0 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 2 6 4 2 0 1 9 4 7 9 8 0 0 0 0 0 5 4 9 < / I D >  
             < T a r g e t A c c o u n t I D > 2 6 4 2 0 1 9 4 7 9 8 0 0 0 0 0 2 6 3 < / T a r g e t A c c o u n t I D >  
             < C h a r t I D > 2 6 4 2 0 1 9 4 7 9 8 0 0 0 0 0 2 3 1 < / C h a r t I D >  
             < I s L i n k e d > f a l s e < / I s L i n k e d >  
             < N u m b e r > 0 4 0 2 0 0 1 0 0 0 7 7 < / N u m b e r >  
             < N a m e > P r o f i t   O n   -   N r s p 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 2 6 4 2 0 1 9 4 7 9 8 0 0 0 0 0 5 5 0 < / I D >  
             < T a r g e t A c c o u n t I D > 2 6 4 2 0 1 9 4 7 9 8 0 0 0 0 0 2 6 3 < / T a r g e t A c c o u n t I D >  
             < C h a r t I D > 2 6 4 2 0 1 9 4 7 9 8 0 0 0 0 0 2 3 1 < / C h a r t I D >  
             < I s L i n k e d > f a l s e < / I s L i n k e d >  
             < N u m b e r > 0 4 0 2 0 0 1 0 0 0 7 8 < / N u m b e r >  
             < N a m e > P r o f i t   O n   -   M o b i l i n k   M i c r o f i n a n c e   B a n k   L i m i t e d < / 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 2 6 4 2 0 1 9 4 7 9 8 0 0 0 0 0 5 5 1 < / I D >  
             < T a r g e t A c c o u n t I D > 2 6 4 2 0 1 9 4 7 9 8 0 0 0 0 0 2 6 3 < / T a r g e t A c c o u n t I D >  
             < C h a r t I D > 2 6 4 2 0 1 9 4 7 9 8 0 0 0 0 0 2 3 1 < / C h a r t I D >  
             < I s L i n k e d > f a l s e < / I s L i n k e d >  
             < N u m b e r > 0 4 0 2 0 0 1 0 0 0 7 9 < / N u m b e r >  
             < N a m e > P r o f i t   O n 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 - 1 9 1 8 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 2 6 4 2 0 1 9 4 7 9 8 0 0 0 0 0 5 5 2 < / I D >  
             < T a r g e t A c c o u n t I D > 2 6 4 2 0 1 9 4 7 9 8 0 0 0 0 0 2 6 3 < / T a r g e t A c c o u n t I D >  
             < C h a r t I D > 2 6 4 2 0 1 9 4 7 9 8 0 0 0 0 0 2 3 1 < / C h a r t I D >  
             < I s L i n k e d > f a l s e < / I s L i n k e d >  
             < N u m b e r > 0 4 0 2 0 0 1 0 0 0 8 0 < / N u m b e r >  
             < N a m e > P r o f i t   O n 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 - 1 3 4 8 < / B a l a n c e >  
                 < / A c c o u n t B a l a n c e >  
                 < A c c o u n t B a l a n c e >  
                     < F i e l d N a m e > P r i o r P e r i o d 2 B a l a n c e < / F i e l d N a m e >  
                     < B a l a n c e > - 1 3 4 8 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 2 6 4 2 0 1 9 4 7 9 8 0 0 0 0 0 5 5 3 < / I D >  
             < T a r g e t A c c o u n t I D > 2 6 4 2 0 1 9 4 7 9 8 0 0 0 0 0 2 6 3 < / T a r g e t A c c o u n t I D >  
             < C h a r t I D > 2 6 4 2 0 1 9 4 7 9 8 0 0 0 0 0 2 3 1 < / C h a r t I D >  
             < I s L i n k e d > f a l s e < / I s L i n k e d >  
             < N u m b e r > 0 4 0 2 0 0 1 0 0 0 8 2 < / N u m b e r >  
             < N a m e > P r o f i t   O n   -   T a m e e r   M i c r o f i n a n c e   B a n k < / N a m e >  
             < A J E > 0 < / A J E >  
             < A d j u s t > - 8 < / A d j u s t >  
             < R J E > 0 < / R J E >  
             < P r e l i m i n a r y > - 8 < / P r e l i m i n a r y >  
             < F i n a l > - 8 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 2 6 4 2 0 1 9 4 7 9 8 0 0 0 0 0 5 8 5 < / I D >  
             < T a r g e t A c c o u n t I D > 2 6 4 2 0 1 9 4 7 9 8 0 0 0 0 0 2 6 3 < / T a r g e t A c c o u n t I D >  
             < C h a r t I D > 2 6 4 2 0 1 9 4 7 9 8 0 0 0 0 0 2 3 1 < / C h a r t I D >  
             < I s L i n k e d > f a l s e < / I s L i n k e d >  
             < N u m b e r > 0 4 0 2 0 0 1 0 0 0 9 0 < / N u m b e r >  
             < N a m e > P r o f i t   O n   -   H a b i b   B a n k   L i m i t e d   K s e   B r a n c h < / N a m e >  
             < A J E > 0 < / A J E >  
             < A d j u s t > 0 < / A d j u s t >  
             < R J E > 0 < / R J E >  
             < P r e l i m i n a r y > 0 < / P r e l i m i n a r y >  
             < F i n a l > 0 < / F i n a l >  
         < / A c c o u n t S t o r a g e >  
         < A c c o u n t S t o r a g e >  
             < A c c o u n t B a l a n c e s >  
                 < A c c o u n t B a l a n c e >  
                     < F i e l d N a m e > P r i o r P e r i o d 1 B a l a n c e < / F i e l d N a m e >  
                     < B a l a n c e > - 2 5 9 < / B a l a n c e >  
                 < / A c c o u n t B a l a n c e >  
                 < A c c o u n t B a l a n c e >  
                     < F i e l d N a m e > P r i o r P e r i o d 2 B a l a n c e < / F i e l d N a m e >  
                     < B a l a n c e > - 2 5 9 < / B a l a n c e >  
                 < / A c c o u n t B a l a n c e >  
                 < A c c o u n t B a l a n c e >  
                     < F i e l d N a m e > P r i o r P e r i o d 3 B a l a n c e < / F i e l d N a m e >  
                     < B a l a n c e > - 2 4 1 8 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 2 6 4 2 0 1 9 4 7 9 8 0 0 0 0 0 5 8 6 < / I D >  
             < T a r g e t A c c o u n t I D > 2 6 4 2 0 1 9 4 7 9 8 0 0 0 0 0 2 6 3 < / T a r g e t A c c o u n t I D >  
             < C h a r t I D > 2 6 4 2 0 1 9 4 7 9 8 0 0 0 0 0 2 3 1 < / C h a r t I D >  
             < I s L i n k e d > f a l s e < / I s L i n k e d >  
             < N u m b e r > 0 4 0 2 0 0 1 0 0 0 9 3 < / N u m b e r >  
             < N a m e > P r o f i t   O n   -   F i r s t   M i c r o   F i n a n c e   B a n k   L t d   -   C l i f t o n   B r a n c h < / N a m e >  
             < A J E > 0 < / A J E >  
             < A d j u s t > - 5 < / A d j u s t >  
             < R J E > 0 < / R J E >  
             < P r e l i m i n a r y > - 5 < / P r e l i m i n a r y >  
             < F i n a l > - 5 < / F i n a l >  
         < / A c c o u n t S t o r a g e >  
         < A c c o u n t S t o r a g e >  
             < A c c o u n t B a l a n c e s >  
                 < A c c o u n t B a l a n c e >  
                     < F i e l d N a m e > P r i o r P e r i o d 1 B a l a n c e < / F i e l d N a m e >  
                     < B a l a n c e > - 4 6 2 5 < / B a l a n c e >  
                 < / A c c o u n t B a l a n c e >  
                 < A c c o u n t B a l a n c e >  
                     < F i e l d N a m e > P r i o r P e r i o d 2 B a l a n c e < / F i e l d N a m e >  
                     < B a l a n c e > - 4 6 2 5 < / B a l a n c e >  
                 < / A c c o u n t B a l a n c e >  
                 < A c c o u n t B a l a n c e >  
                     < F i e l d N a m e > P r i o r P e r i o d 3 B a l a n c e < / F i e l d N a m e >  
                     < B a l a n c e > - 3 7 8 5 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 2 9 6 1 8 1 5 9 6 0 0 0 0 0 0 0 0 1 5 < / I D >  
             < T a r g e t A c c o u n t I D > 2 6 4 2 0 1 9 4 7 9 8 0 0 0 0 0 2 6 3 < / T a r g e t A c c o u n t I D >  
             < C h a r t I D > 2 6 4 2 0 1 9 4 7 9 8 0 0 0 0 0 2 3 1 < / C h a r t I D >  
             < I s L i n k e d > f a l s e < / I s L i n k e d >  
             < N u m b e r > 0 4 0 2 0 0 1 0 0 0 9 9 < / N u m b e r >  
             < N a m e > P r o f i t   O n   -   S i l k   B a n k   L i m i t e d   -   M a i n   B r a n c h < / N a m e >  
             < A J E > 0 < / A J E >  
             < A d j u s t > - 3 1 6 8 < / A d j u s t >  
             < R J E > 0 < / R J E >  
             < P r e l i m i n a r y > - 3 1 6 8 < / P r e l i m i n a r y >  
             < F i n a l > - 3 1 6 8 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 2 0 7 8 < / B a l a n c e >  
                 < / A c c o u n t B a l a n c e >  
                 < A c c o u n t B a l a n c e >  
                     < F i e l d N a m e > P r i o r P e r i o d 3 B a l a n c e < / F i e l d N a m e >  
                     < B a l a n c e > 1 1 4 1 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 2 6 4 2 0 1 9 4 7 9 8 0 0 0 0 0 5 4 4 < / I D >  
             < T a r g e t A c c o u n t I D > 2 6 4 2 0 1 9 4 7 9 8 0 0 0 0 0 2 8 5 < / T a r g e t A c c o u n t I D >  
             < C h a r t I D > 2 6 4 2 0 1 9 4 7 9 8 0 0 0 0 0 2 3 1 < / C h a r t I D >  
             < I s L i n k e d > f a l s e < / I s L i n k e d >  
             < N u m b e r > 0 4 0 1 0 1 2 0 0 0 0 1 < / N u m b e r >  
             < N a m e > U R G   /   L O S S   H F T   E Q U I T Y   I N V E S T M E N T S < / N a m e >  
             < A J E > 0 < / A J E >  
             < A d j u s t > 0 < / A d j u s t >  
             < R J E > 0 < / R J E >  
             < P r e l i m i n a r y > 0 < / P r e l i m i n a r y >  
             < F i n a l > 0 < / F i n a l >  
         < / A c c o u n t S t o r a g e >  
         < A c c o u n t S t o r a g e >  
             < A c c o u n t B a l a n c e s >  
                 < A c c o u n t B a l a n c e >  
                     < F i e l d N a m e > P r i o r P e r i o d 1 B a l a n c e < / F i e l d N a m e >  
                     < B a l a n c e > 5 6 6 < / B a l a n c e >  
                 < / A c c o u n t B a l a n c e >  
                 < A c c o u n t B a l a n c e >  
                     < F i e l d N a m e > P r i o r P e r i o d 2 B a l a n c e < / F i e l d N a m e >  
                     < B a l a n c e > 5 6 6 < / B a l a n c e >  
                 < / A c c o u n t B a l a n c e >  
                 < A c c o u n t B a l a n c e >  
                     < F i e l d N a m e > P r i o r P e r i o d 3 B a l a n c e < / F i e l d N a m e >  
                     < B a l a n c e > 1 2 5 7 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 2 6 4 2 0 1 9 4 7 9 8 0 0 0 0 0 4 4 5 < / I D >  
             < T a r g e t A c c o u n t I D > 2 6 4 2 0 1 9 4 7 9 8 0 0 0 0 0 2 8 5 < / T a r g e t A c c o u n t I D >  
             < C h a r t I D > 2 6 4 2 0 1 9 4 7 9 8 0 0 0 0 0 2 3 1 < / C h a r t I D >  
             < I s L i n k e d > f a l s e < / I s L i n k e d >  
             < N u m b e r > 0 4 0 1 0 1 4 0 0 0 0 1 < / N u m b e r >  
             < N a m e > U R G   /   L O S S   I N V E S T M E N T   I N   D E B T   S E C U R I T I E S < / N a m e >  
             < A J E > 0 < / A J E >  
             < A d j u s t > 1 0 9 < / A d j u s t >  
             < R J E > 0 < / R J E >  
             < P r e l i m i n a r y > 1 0 9 < / P r e l i m i n a r y >  
             < F i n a l > 1 0 9 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 2 6 4 2 0 1 9 4 7 9 8 0 0 0 0 0 4 4 8 < / I D >  
             < T a r g e t A c c o u n t I D > 2 6 4 2 0 1 9 4 7 9 8 0 0 0 0 0 2 8 5 < / T a r g e t A c c o u n t I D >  
             < C h a r t I D > 2 6 4 2 0 1 9 4 7 9 8 0 0 0 0 0 2 3 1 < / C h a r t I D >  
             < I s L i n k e d > f a l s e < / I s L i n k e d >  
             < N u m b e r > 0 4 0 1 0 1 5 0 0 0 0 1 < / N u m b e r >  
             < N a m e > U R G / L O S S   I N V E S T M E N T S   I N   P I B S 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 2 6 4 2 0 1 9 4 7 9 8 0 0 0 0 0 4 4 9 < / I D >  
             < T a r g e t A c c o u n t I D > 2 6 4 2 0 1 9 4 7 9 8 0 0 0 0 0 2 8 5 < / T a r g e t A c c o u n t I D >  
             < C h a r t I D > 2 6 4 2 0 1 9 4 7 9 8 0 0 0 0 0 2 3 1 < / C h a r t I D >  
             < I s L i n k e d > f a l s e < / I s L i n k e d >  
             < N u m b e r > 0 4 0 1 0 1 6 0 0 0 0 1 < / N u m b e r >  
             < N a m e > U R G / L O S S   I N V E S T M E N T S   I N   T B I L L S < / N a m e >  
             < A J E > 0 < / A J E >  
             < A d j u s t > 0 < / A d j u s t >  
             < R J E > 0 < / R J E >  
             < P r e l i m i n a r y > 0 < / P r e l i m i n a r y >  
             < F i n a l > 0 < / F i n a l >  
         < / A c c o u n t S t o r a g e >  
         < A c c o u n t S t o r a g e >  
             < A c c o u n t B a l a n c e s >  
                 < A c c o u n t B a l a n c e >  
                     < F i e l d N a m e > P r i o r P e r i o d 1 B a l a n c e < / F i e l d N a m e >  
                     < B a l a n c e > - 3 0 3 < / B a l a n c e >  
                 < / A c c o u n t B a l a n c e >  
                 < A c c o u n t B a l a n c e >  
                     < F i e l d N a m e > P r i o r P e r i o d 2 B a l a n c e < / F i e l d N a m e >  
                     < B a l a n c e > - 3 0 3 < / B a l a n c e >  
                 < / A c c o u n t B a l a n c e >  
                 < A c c o u n t B a l a n c e >  
                     < F i e l d N a m e > P r i o r P e r i o d 3 B a l a n c e < / F i e l d N a m e >  
                     < B a l a n c e > - 3 9 4 9 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 2 6 4 2 0 1 9 4 7 9 8 0 0 0 0 0 5 4 3 < / I D >  
             < T a r g e t A c c o u n t I D > 2 6 4 2 0 1 9 4 7 9 8 0 0 0 0 0 4 2 0 < / T a r g e t A c c o u n t I D >  
             < C h a r t I D > 2 6 4 2 0 1 9 4 7 9 8 0 0 0 0 0 2 3 1 < / C h a r t I D >  
             < I s L i n k e d > f a l s e < / I s L i n k e d >  
             < N u m b e r > 0 4 0 1 0 1 0 0 0 0 0 1 < / N u m b e r >  
             < N a m e > D I V I D E N D   I N C O M E   O N 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 2 6 4 2 0 1 9 4 7 9 8 0 0 0 0 0 4 6 9 < / I D >  
             < T a r g e t A c c o u n t I D > 2 6 4 2 0 1 9 4 7 9 8 0 0 0 0 0 2 7 2 < / T a r g e t A c c o u n t I D >  
             < C h a r t I D > 2 6 4 2 0 1 9 4 7 9 8 0 0 0 0 0 2 3 1 < / C h a r t I D >  
             < I s L i n k e d > f a l s e < / I s L i n k e d >  
             < N u m b e r > 0 4 0 7 0 0 1 0 0 1 < / N u m b e r >  
             < N a m e > P r o v i s i o n   A g a i n s t   D e b t   S e c u r i t i e s     P r i n c i p a l   A m o u n t 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 2 6 4 2 0 1 9 4 7 9 8 0 0 0 0 0 4 9 8 < / I D >  
             < T a r g e t A c c o u n t I D > 2 6 4 2 0 1 9 4 7 9 8 0 0 0 0 0 2 7 2 < / T a r g e t A c c o u n t I D >  
             < C h a r t I D > 2 6 4 2 0 1 9 4 7 9 8 0 0 0 0 0 2 3 1 < / C h a r t I D >  
             < I s L i n k e d > f a l s e < / I s L i n k e d >  
             < N u m b e r > 0 5 0 4 0 0 1 0 0 0 0 1 < / N u m b e r >  
             < N a m e > P R O V I S I O N   A G A I N S T   D E B T   S E C U R I T I E S     P R I N C I P A L   A M O U N T < / N a m e >  
             < A J E > 0 < / A J E >  
             < A d j u s t > 0 < / A d j u s t >  
             < R J E > 0 < / R J E >  
             < P r e l i m i n a r y > 0 < / P r e l i m i n a r y >  
             < F i n a l > 0 < / F i n a l >  
         < / A c c o u n t S t o r a g e >  
         < A c c o u n t S t o r a g e >  
             < A c c o u n t B a l a n c e s >  
                 < A c c o u n t B a l a n c e >  
                     < F i e l d N a m e > P r i o r P e r i o d 1 B a l a n c e < / F i e l d N a m e >  
                     < B a l a n c e > 2 3 0 8 < / B a l a n c e >  
                 < / A c c o u n t B a l a n c e >  
                 < A c c o u n t B a l a n c e >  
                     < F i e l d N a m e > P r i o r P e r i o d 2 B a l a n c e < / F i e l d N a m e >  
                     < B a l a n c e > 2 3 0 8 < / B a l a n c e >  
                 < / A c c o u n t B a l a n c e >  
                 < A c c o u n t B a l a n c e >  
                     < F i e l d N a m e > P r i o r P e r i o d 3 B a l a n c e < / F i e l d N a m e >  
                     < B a l a n c e > 6 6 8 9 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 2 6 4 2 0 1 9 4 7 9 8 0 0 0 0 0 4 7 1 < / I D >  
             < T a r g e t A c c o u n t I D > 2 6 4 2 0 1 9 4 7 9 8 0 0 0 0 0 4 0 8 < / T a r g e t A c c o u n t I D >  
             < C h a r t I D > 2 6 4 2 0 1 9 4 7 9 8 0 0 0 0 0 2 3 1 < / C h a r t I D >  
             < I s L i n k e d > f a l s e < / I s L i n k e d >  
             < N u m b e r > 0 5 0 1 0 0 1 0 0 0 0 1 < / N u m b e r >  
             < N a m e > M A N A G E M E N T   C O M P A N Y   R E M U N E R A T I O N < / N a m e >  
             < A J E > 0 < / A J E >  
             < A d j u s t > 1 5 7 2 < / A d j u s t >  
             < R J E > 0 < / R J E >  
             < P r e l i m i n a r y > 1 5 7 2 < / P r e l i m i n a r y >  
             < F i n a l > 1 5 7 2 < / F i n a l >  
         < / A c c o u n t S t o r a g e >  
         < A c c o u n t S t o r a g e >  
             < A c c o u n t B a l a n c e s >  
                 < A c c o u n t B a l a n c e >  
                     < F i e l d N a m e > P r i o r P e r i o d 1 B a l a n c e < / F i e l d N a m e >  
                     < B a l a n c e > 3 0 0 < / B a l a n c e >  
                 < / A c c o u n t B a l a n c e >  
                 < A c c o u n t B a l a n c e >  
                     < F i e l d N a m e > P r i o r P e r i o d 2 B a l a n c e < / F i e l d N a m e >  
                     < B a l a n c e > 3 0 0 < / B a l a n c e >  
                 < / A c c o u n t B a l a n c e >  
                 < A c c o u n t B a l a n c e >  
                     < F i e l d N a m e > P r i o r P e r i o d 3 B a l a n c e < / F i e l d N a m e >  
                     < B a l a n c e > 8 7 0 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 2 6 4 2 0 1 9 4 7 9 8 0 0 0 0 0 4 7 2 < / I D >  
             < T a r g e t A c c o u n t I D > 2 6 4 2 0 1 9 4 7 9 8 0 0 0 0 0 4 0 8 < / T a r g e t A c c o u n t I D >  
             < C h a r t I D > 2 6 4 2 0 1 9 4 7 9 8 0 0 0 0 0 2 3 1 < / C h a r t I D >  
             < I s L i n k e d > f a l s e < / I s L i n k e d >  
             < N u m b e r > 0 5 0 1 0 0 1 0 0 0 0 2 < / N u m b e r >  
             < N a m e > S A L E S   T A X   O N   M A N A G E M E N T   C O M P A N Y   R E M U N E R A T I O N < / N a m e >  
             < A J E > 0 < / A J E >  
             < A d j u s t > 2 0 4 < / A d j u s t >  
             < R J E > 0 < / R J E >  
             < P r e l i m i n a r y > 2 0 4 < / P r e l i m i n a r y >  
             < F i n a l > 2 0 4 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 2 6 4 2 0 1 9 4 7 9 8 0 0 0 0 0 4 7 3 < / I D >  
             < T a r g e t A c c o u n t I D > 2 6 4 2 0 1 9 4 7 9 8 0 0 0 0 0 4 0 8 < / T a r g e t A c c o u n t I D >  
             < C h a r t I D > 2 6 4 2 0 1 9 4 7 9 8 0 0 0 0 0 2 3 1 < / C h a r t I D >  
             < I s L i n k e d > f a l s e < / I s L i n k e d >  
             < N u m b e r > 0 5 0 1 0 0 1 0 0 0 0 3 < / N u m b e r >  
             < N a m e > F E D   E X P E N S E   O N   M G M   F E E < / N a m e >  
             < A J E > 0 < / A J E >  
             < A d j u s t > 0 < / A d j u s t >  
             < R J E > 0 < / R J E >  
             < P r e l i m i n a r y > 0 < / P r e l i m i n a r y >  
             < F i n a l > 0 < / F i n a l >  
         < / A c c o u n t S t o r a g e >  
         < A c c o u n t S t o r a g e >  
             < A c c o u n t B a l a n c e s >  
                 < A c c o u n t B a l a n c e >  
                     < F i e l d N a m e > P r i o r P e r i o d 1 B a l a n c e < / F i e l d N a m e >  
                     < B a l a n c e > 2 5 7 < / B a l a n c e >  
                 < / A c c o u n t B a l a n c e >  
                 < A c c o u n t B a l a n c e >  
                     < F i e l d N a m e > P r i o r P e r i o d 2 B a l a n c e < / F i e l d N a m e >  
                     < B a l a n c e > 2 5 7 < / B a l a n c e >  
                 < / A c c o u n t B a l a n c e >  
                 < A c c o u n t B a l a n c e >  
                     < F i e l d N a m e > P r i o r P e r i o d 3 B a l a n c e < / F i e l d N a m e >  
                     < B a l a n c e > 7 9 7 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 2 6 4 2 0 1 9 4 7 9 8 0 0 0 0 0 4 7 4 < / I D >  
             < T a r g e t A c c o u n t I D > 2 6 4 2 0 1 9 4 7 9 8 0 0 0 0 0 4 0 5 < / T a r g e t A c c o u n t I D >  
             < C h a r t I D > 2 6 4 2 0 1 9 4 7 9 8 0 0 0 0 0 2 3 1 < / C h a r t I D >  
             < I s L i n k e d > f a l s e < / I s L i n k e d >  
             < N u m b e r > 0 5 0 1 0 0 2 0 0 0 0 1 < / N u m b e r >  
             < N a m e > T R U S T E E   R E M U N E R A T I O N < / N a m e >  
             < A J E > 0 < / A J E >  
             < A d j u s t > 2 5 2 < / A d j u s t >  
             < R J E > 0 < / R J E >  
             < P r e l i m i n a r y > 2 5 2 < / P r e l i m i n a r y >  
             < F i n a l > 2 5 2 < / F i n a l >  
         < / A c c o u n t S t o r a g e >  
         < A c c o u n t S t o r a g e >  
             < A c c o u n t B a l a n c e s >  
                 < A c c o u n t B a l a n c e >  
                     < F i e l d N a m e > P r i o r P e r i o d 1 B a l a n c e < / F i e l d N a m e >  
                     < B a l a n c e > 1 8 2 < / B a l a n c e >  
                 < / A c c o u n t B a l a n c e >  
                 < A c c o u n t B a l a n c e >  
                     < F i e l d N a m e > P r i o r P e r i o d 2 B a l a n c e < / F i e l d N a m e >  
                     < B a l a n c e > 1 8 2 < / B a l a n c e >  
                 < / A c c o u n t B a l a n c e >  
                 < A c c o u n t B a l a n c e >  
                     < F i e l d N a m e > P r i o r P e r i o d 3 B a l a n c e < / F i e l d N a m e >  
                     < B a l a n c e > 6 3 1 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 2 6 4 2 0 1 9 4 7 9 8 0 0 0 0 0 4 7 6 < / I D >  
             < T a r g e t A c c o u n t I D > 2 6 4 2 0 1 9 4 7 9 8 0 0 0 0 0 4 0 1 < / T a r g e t A c c o u n t I D >  
             < C h a r t I D > 2 6 4 2 0 1 9 4 7 9 8 0 0 0 0 0 2 3 1 < / C h a r t I D >  
             < I s L i n k e d > f a l s e < / I s L i n k e d >  
             < N u m b e r > 0 5 0 1 0 0 3 0 0 0 0 1 < / N u m b e r >  
             < N a m e > S E C P   A N N U A L   F E E < / N a m e >  
             < A J E > 0 < / A J E >  
             < A d j u s t > 2 0 < / A d j u s t >  
             < R J E > 0 < / R J E >  
             < P r e l i m i n a r y > 2 0 < / P r e l i m i n a r y >  
             < F i n a l > 2 0 < / F i n a l >  
         < / A c c o u n t S t o r a g e >  
         < A c c o u n t S t o r a g e >  
             < A c c o u n t B a l a n c e s >  
                 < A c c o u n t B a l a n c e >  
                     < F i e l d N a m e > P r i o r P e r i o d 1 B a l a n c e < / F i e l d N a m e >  
                     < B a l a n c e > 1 1 3 < / B a l a n c e >  
                 < / A c c o u n t B a l a n c e >  
                 < A c c o u n t B a l a n c e >  
                     < F i e l d N a m e > P r i o r P e r i o d 2 B a l a n c e < / F i e l d N a m e >  
                     < B a l a n c e > 1 1 3 < / B a l a n c e >  
                 < / A c c o u n t B a l a n c e >  
                 < A c c o u n t B a l a n c e >  
                     < F i e l d N a m e > P r i o r P e r i o d 3 B a l a n c e < / F i e l d N a m e >  
                     < B a l a n c e > 7 9 8 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 2 6 4 2 0 1 9 4 7 9 8 0 0 0 0 0 5 5 8 < / I D >  
             < T a r g e t A c c o u n t I D > 2 6 4 2 0 1 9 4 7 9 8 0 0 0 0 0 3 9 8 < / T a r g e t A c c o u n t I D >  
             < C h a r t I D > 2 6 4 2 0 1 9 4 7 9 8 0 0 0 0 0 2 3 1 < / C h a r t I D >  
             < I s L i n k e d > f a l s e < / I s L i n k e d >  
             < N u m b e r > 0 5 0 2 0 0 1 0 0 0 0 1 < / N u m b e r >  
             < N a m e > B R O K E R A G E   E X P E N S E   O N   E Q U I T Y   I N V E S T M E N T < / N a m e >  
             < A J E > 0 < / A J E >  
             < A d j u s t > 0 < / A d j u s t >  
             < R J E > 0 < / R J E >  
             < P r e l i m i n a r y > 0 < / P r e l i m i n a r y >  
             < F i n a l > 0 < / F i n a l >  
         < / A c c o u n t S t o r a g e >  
         < A c c o u n t S t o r a g e >  
             < A c c o u n t B a l a n c e s >  
                 < A c c o u n t B a l a n c e >  
                     < F i e l d N a m e > P r i o r P e r i o d 1 B a l a n c e < / F i e l d N a m e >  
                     < B a l a n c e > 1 2 < / B a l a n c e >  
                 < / A c c o u n t B a l a n c e >  
                 < A c c o u n t B a l a n c e >  
                     < F i e l d N a m e > P r i o r P e r i o d 2 B a l a n c e < / F i e l d N a m e >  
                     < B a l a n c e > 1 2 < / B a l a n c e >  
                 < / A c c o u n t B a l a n c e >  
                 < A c c o u n t B a l a n c e >  
                     < F i e l d N a m e > P r i o r P e r i o d 3 B a l a n c e < / F i e l d N a m e >  
                     < B a l a n c e > 4 5 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 2 6 4 2 0 1 9 4 7 9 8 0 0 0 0 0 4 7 9 < / I D >  
             < T a r g e t A c c o u n t I D > 2 6 4 2 0 1 9 4 7 9 8 0 0 0 0 0 3 9 8 < / T a r g e t A c c o u n t I D >  
             < C h a r t I D > 2 6 4 2 0 1 9 4 7 9 8 0 0 0 0 0 2 3 1 < / C h a r t I D >  
             < I s L i n k e d > f a l s e < / I s L i n k e d >  
             < N u m b e r > 0 5 0 2 0 0 1 0 0 0 0 2 < / N u m b e r >  
             < N a m e > B R O K E R A G E   E X P E N S E     M O N E Y   M A R K E T   T R A N S A C T I O N S < / N a m e >  
             < A J E > 0 < / A J E >  
             < A d j u s t > 4 5 < / A d j u s t >  
             < R J E > 0 < / R J E >  
             < P r e l i m i n a r y > 4 5 < / P r e l i m i n a r y >  
             < F i n a l > 4 5 < / F i n a l >  
         < / A c c o u n t S t o r a g e >  
         < A c c o u n t S t o r a g e >  
             < A c c o u n t B a l a n c e s >  
                 < A c c o u n t B a l a n c e >  
                     < F i e l d N a m e > P r i o r P e r i o d 1 B a l a n c e < / F i e l d N a m e >  
                     < B a l a n c e > 2 2 < / B a l a n c e >  
                 < / A c c o u n t B a l a n c e >  
                 < A c c o u n t B a l a n c e >  
                     < F i e l d N a m e > P r i o r P e r i o d 2 B a l a n c e < / F i e l d N a m e >  
                     < B a l a n c e > 2 2 < / B a l a n c e >  
                 < / A c c o u n t B a l a n c e >  
                 < A c c o u n t B a l a n c e >  
                     < F i e l d N a m e > P r i o r P e r i o d 3 B a l a n c e < / F i e l d N a m e >  
                     < B a l a n c e > 1 8 4 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 2 6 4 2 0 1 9 4 7 9 8 0 0 0 0 0 4 8 0 < / I D >  
             < T a r g e t A c c o u n t I D > 2 6 4 2 0 1 9 4 7 9 8 0 0 0 0 0 3 9 8 < / T a r g e t A c c o u n t I D >  
             < C h a r t I D > 2 6 4 2 0 1 9 4 7 9 8 0 0 0 0 0 2 3 1 < / C h a r t I D >  
             < I s L i n k e d > f a l s e < / I s L i n k e d >  
             < N u m b e r > 0 5 0 2 0 0 3 0 0 0 0 1 < / N u m b e r >  
             < N a m e > S E T T   C H G     T R U S T E E < / N a m e >  
             < A J E > 0 < / A J E >  
             < A d j u s t > 8 < / A d j u s t >  
             < R J E > 0 < / R J E >  
             < P r e l i m i n a r y > 8 < / P r e l i m i n a r y >  
             < F i n a l > 8 < / F i n a l >  
         < / A c c o u n t S t o r a g e >  
         < A c c o u n t S t o r a g e >  
             < A c c o u n t B a l a n c e s >  
                 < A c c o u n t B a l a n c e >  
                     < F i e l d N a m e > P r i o r P e r i o d 1 B a l a n c e < / F i e l d N a m e >  
                     < B a l a n c e > 1 9 6 < / B a l a n c e >  
                 < / A c c o u n t B a l a n c e >  
                 < A c c o u n t B a l a n c e >  
                     < F i e l d N a m e > P r i o r P e r i o d 2 B a l a n c e < / F i e l d N a m e >  
                     < B a l a n c e > 1 9 6 < / B a l a n c e >  
                 < / A c c o u n t B a l a n c e >  
                 < A c c o u n t B a l a n c e >  
                     < F i e l d N a m e > P r i o r P e r i o d 3 B a l a n c e < / F i e l d N a m e >  
                     < B a l a n c e > 3 5 1 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 2 6 4 2 0 1 9 4 7 9 8 0 0 0 0 0 5 0 7 < / I D >  
             < T a r g e t A c c o u n t I D > 2 6 4 2 0 1 9 4 7 9 8 0 0 0 0 0 3 9 8 < / T a r g e t A c c o u n t I D >  
             < C h a r t I D > 2 6 4 2 0 1 9 4 7 9 8 0 0 0 0 0 2 3 1 < / C h a r t I D >  
             < I s L i n k e d > f a l s e < / I s L i n k e d >  
             < N u m b e r > 0 5 0 2 0 0 3 0 0 0 0 2 < / N u m b e r >  
             < N a m e > S E T T   C H G     N C C P L     E Q U I T Y   T R A N S A C T I O N S < / N a m e >  
             < A J E > 0 < / A J E >  
             < A d j u s t > 1 5 7 < / A d j u s t >  
             < R J E > 0 < / R J E >  
             < P r e l i m i n a r y > 1 5 7 < / P r e l i m i n a r y >  
             < F i n a l > 1 5 7 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 2 6 4 2 0 1 9 4 7 9 8 0 0 0 0 0 4 8 1 < / I D >  
             < T a r g e t A c c o u n t I D > 2 6 4 2 0 1 9 4 7 9 8 0 0 0 0 0 3 9 8 < / T a r g e t A c c o u n t I D >  
             < C h a r t I D > 2 6 4 2 0 1 9 4 7 9 8 0 0 0 0 0 2 3 1 < / C h a r t I D >  
             < I s L i n k e d > f a l s e < / I s L i n k e d >  
             < N u m b e r > 0 5 0 2 0 0 3 0 0 0 0 3 < / N u m b e r >  
             < N a m e > S E T T   C H G     N C C P L     D E B T   S E C U R I T Y   T R A N S A C T I O N S < / N a m e >  
             < A J E > 0 < / A J E >  
             < A d j u s t > 0 < / A d j u s t >  
             < R J E > 0 < / R J E >  
             < P r e l i m i n a r y > 0 < / P r e l i m i n a r y >  
             < F i n a l > 0 < / F i n a l >  
         < / A c c o u n t S t o r a g e >  
         < A c c o u n t S t o r a g e >  
             < A c c o u n t B a l a n c e s >  
                 < A c c o u n t B a l a n c e >  
                     < F i e l d N a m e > P r i o r P e r i o d 1 B a l a n c e < / F i e l d N a m e >  
                     < B a l a n c e > 3 < / B a l a n c e >  
                 < / A c c o u n t B a l a n c e >  
                 < A c c o u n t B a l a n c e >  
                     < F i e l d N a m e > P r i o r P e r i o d 2 B a l a n c e < / F i e l d N a m e >  
                     < B a l a n c e > 3 < / B a l a n c e >  
                 < / A c c o u n t B a l a n c e >  
                 < A c c o u n t B a l a n c e >  
                     < F i e l d N a m e > P r i o r P e r i o d 3 B a l a n c e < / F i e l d N a m e >  
                     < B a l a n c e > 1 3 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 2 6 4 2 0 1 9 4 7 9 8 0 0 0 0 0 5 6 3 < / I D >  
             < T a r g e t A c c o u n t I D > 2 6 4 2 0 1 9 4 7 9 8 0 0 0 0 0 3 9 3 < / T a r g e t A c c o u n t I D >  
             < C h a r t I D > 2 6 4 2 0 1 9 4 7 9 8 0 0 0 0 0 2 3 1 < / C h a r t I D >  
             < I s L i n k e d > f a l s e < / I s L i n k e d >  
             < N u m b e r > 0 5 1 0 0 0 1 0 0 0 0 1 < / N u m b e r >  
             < N a m e > B A N K   C H A R G E S   -   A L L I E D   B A N K   L I M I T E D < / N a m e >  
             < A J E > 0 < / A J E >  
             < A d j u s t > 5 < / A d j u s t >  
             < R J E > 0 < / R J E >  
             < P r e l i m i n a r y > 5 < / P r e l i m i n a r y >  
             < F i n a l > 5 < / F i n a l >  
         < / A c c o u n t S t o r a g e >  
         < A c c o u n t S t o r a g e >  
             < A c c o u n t B a l a n c e s >  
                 < A c c o u n t B a l a n c e >  
                     < F i e l d N a m e > P r i o r P e r i o d 1 B a l a n c e < / F i e l d N a m e >  
                     < B a l a n c e > 9 < / B a l a n c e >  
                 < / A c c o u n t B a l a n c e >  
                 < A c c o u n t B a l a n c e >  
                     < F i e l d N a m e > P r i o r P e r i o d 2 B a l a n c e < / F i e l d N a m e >  
                     < B a l a n c e > 9 < / B a l a n c e >  
                 < / A c c o u n t B a l a n c e >  
                 < A c c o u n t B a l a n c e >  
                     < F i e l d N a m e > P r i o r P e r i o d 3 B a l a n c e < / F i e l d N a m e >  
                     < B a l a n c e > 4 1 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 2 6 4 2 0 1 9 4 7 9 8 0 0 0 0 0 4 9 2 < / I D >  
             < T a r g e t A c c o u n t I D > 2 6 4 2 0 1 9 4 7 9 8 0 0 0 0 0 3 9 3 < / T a r g e t A c c o u n t I D >  
             < C h a r t I D > 2 6 4 2 0 1 9 4 7 9 8 0 0 0 0 0 2 3 1 < / C h a r t I D >  
             < I s L i n k e d > f a l s e < / I s L i n k e d >  
             < N u m b e r > 0 5 1 0 0 0 1 0 0 0 0 3 < / N u m b e r >  
             < N a m e > B A N K   C H A R G E S   -   B A N K   A L   F A L A H   L I M I T E D < / N a m e >  
             < A J E > 0 < / A J E >  
             < A d j u s t > 2 < / A d j u s t >  
             < R J E > 0 < / R J E >  
             < P r e l i m i n a r y > 2 < / P r e l i m i n a r y >  
             < F i n a l > 2 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 2 6 4 2 0 1 9 4 7 9 8 0 0 0 0 0 4 9 3 < / I D >  
             < T a r g e t A c c o u n t I D > 2 6 4 2 0 1 9 4 7 9 8 0 0 0 0 0 3 9 3 < / T a r g e t A c c o u n t I D >  
             < C h a r t I D > 2 6 4 2 0 1 9 4 7 9 8 0 0 0 0 0 2 3 1 < / C h a r t I D >  
             < I s L i n k e d > f a l s e < / I s L i n k e d >  
             < N u m b e r > 0 5 1 0 0 0 1 0 0 0 0 7 < / N u m b e r >  
             < N a m e > B A N K   C H A R G E S   -   F A Y S A L 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 2 6 4 2 0 1 9 4 7 9 8 0 0 0 0 0 5 7 6 < / I D >  
             < T a r g e t A c c o u n t I D > 2 6 4 2 0 1 9 4 7 9 8 0 0 0 0 0 3 9 3 < / T a r g e t A c c o u n t I D >  
             < C h a r t I D > 2 6 4 2 0 1 9 4 7 9 8 0 0 0 0 0 2 3 1 < / C h a r t I D >  
             < I s L i n k e d > f a l s e < / I s L i n k e d >  
             < N u m b e r > 0 5 1 0 0 0 1 0 0 0 0 8 < / N u m b e r >  
             < N a m e > B A N K   C H A R G E S   -   H A B I B   B A N K   L I M I T E D < / N a m e >  
             < A J E > 0 < / A J E >  
             < A d j u s t > 0 < / A d j u s t >  
             < R J E > 0 < / R J E >  
             < P r e l i m i n a r y > 0 < / P r e l i m i n a r y >  
             < F i n a l > 0 < / 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 1 4 < / B a l a n c e >  
                 < / A c c o u n t B a l a n c e >  
                 < A c c o u n t B a l a n c e >  
                     < F i e l d N a m e > P r i o r P e r i o d 3 B a l a n c e < / F i e l d N a m e >  
                     < B a l a n c e > 4 9 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 2 6 4 2 0 1 9 4 7 9 8 0 0 0 0 0 4 9 4 < / I D >  
             < T a r g e t A c c o u n t I D > 2 6 4 2 0 1 9 4 7 9 8 0 0 0 0 0 3 9 3 < / T a r g e t A c c o u n t I D >  
             < C h a r t I D > 2 6 4 2 0 1 9 4 7 9 8 0 0 0 0 0 2 3 1 < / C h a r t I D >  
             < I s L i n k e d > f a l s e < / I s L i n k e d >  
             < N u m b e r > 0 5 1 0 0 0 1 0 0 0 0 9 < / N u m b e r >  
             < N a m e > B A N K   C H A R G E S   -   H A B I B   M E T R O P O L I T A N   B A N K   L I M I T E D < / N a m e >  
             < A J E > 0 < / A J E >  
             < A d j u s t > 2 7 < / A d j u s t >  
             < R J E > 0 < / R J E >  
             < P r e l i m i n a r y > 2 7 < / P r e l i m i n a r y >  
             < F i n a l > 2 7 < / 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 2 6 4 2 0 1 9 4 7 9 8 0 0 0 0 0 4 9 5 < / I D >  
             < T a r g e t A c c o u n t I D > 2 6 4 2 0 1 9 4 7 9 8 0 0 0 0 0 3 9 3 < / T a r g e t A c c o u n t I D >  
             < C h a r t I D > 2 6 4 2 0 1 9 4 7 9 8 0 0 0 0 0 2 3 1 < / C h a r t I D >  
             < I s L i n k e d > f a l s e < / I s L i n k e d >  
             < N u m b e r > 0 5 1 0 0 0 1 0 0 0 1 0 < / N u m b e r >  
             < N a m e > B A N K   C H A R G E S   -   M C B   B A N K   L I M I T E D < / N a m e >  
             < A J E > 0 < / A J E >  
             < A d j u s t > 2 2 < / A d j u s t >  
             < R J E > 0 < / R J E >  
             < P r e l i m i n a r y > 2 2 < / P r e l i m i n a r y >  
             < F i n a l > 2 2 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 2 6 4 2 0 1 9 4 7 9 8 0 0 0 0 0 4 9 6 < / I D >  
             < T a r g e t A c c o u n t I D > 2 6 4 2 0 1 9 4 7 9 8 0 0 0 0 0 3 9 3 < / T a r g e t A c c o u n t I D >  
             < C h a r t I D > 2 6 4 2 0 1 9 4 7 9 8 0 0 0 0 0 2 3 1 < / C h a r t I D >  
             < I s L i n k e d > f a l s e < / I s L i n k e d >  
             < N u m b e r > 0 5 1 0 0 0 1 0 0 0 1 3 < / N u m b e r >  
             < N a m e > B A N K   C H A R G E S   -   N I B 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 2 6 4 2 0 1 9 4 7 9 8 0 0 0 0 0 4 9 7 < / I D >  
             < T a r g e t A c c o u n t I D > 2 6 4 2 0 1 9 4 7 9 8 0 0 0 0 0 3 9 3 < / T a r g e t A c c o u n t I D >  
             < C h a r t I D > 2 6 4 2 0 1 9 4 7 9 8 0 0 0 0 0 2 3 1 < / C h a r t I D >  
             < I s L i n k e d > f a l s e < / I s L i n k e d >  
             < N u m b e r > 0 5 1 0 0 0 1 0 0 0 1 6 < / N u m b e r >  
             < N a m e > B A N K   C H A R G E S   -   U N I T E D 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 2 6 4 2 0 1 9 4 7 9 8 0 0 0 0 0 5 6 4 < / I D >  
             < T a r g e t A c c o u n t I D > 2 6 4 2 0 1 9 4 7 9 8 0 0 0 0 0 3 9 3 < / T a r g e t A c c o u n t I D >  
             < C h a r t I D > 2 6 4 2 0 1 9 4 7 9 8 0 0 0 0 0 2 3 1 < / C h a r t I D >  
             < I s L i n k e d > f a l s e < / I s L i n k e d >  
             < N u m b e r > 0 5 1 0 0 0 1 0 0 0 1 7 < / N u m b e r >  
             < N a m e > B a n k   C h a r g e s   -   B a n k   A l - H a b i b 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 2 6 4 2 0 1 9 4 7 9 8 0 0 0 0 0 5 6 5 < / I D >  
             < T a r g e t A c c o u n t I D > 2 6 4 2 0 1 9 4 7 9 8 0 0 0 0 0 3 9 3 < / T a r g e t A c c o u n t I D >  
             < C h a r t I D > 2 6 4 2 0 1 9 4 7 9 8 0 0 0 0 0 2 3 1 < / C h a r t I D >  
             < I s L i n k e d > f a l s e < / I s L i n k e d >  
             < N u m b e r > 0 5 1 0 0 0 1 0 0 0 2 0 < / N u m b e r >  
             < N a m e > B a n k   C h a r g e s   -   Z a r a i   T a r a q i a t i   B a n k   L i m i t e d < / N a m e >  
             < A J E > 0 < / A J E >  
             < A d j u s t > 0 < / A d j u s t >  
             < R J E > 0 < / R J E >  
             < P r e l i m i n a r y > 0 < / P r e l i m i n a r y >  
             < F i n a l > 0 < / F i n a l >  
         < / A c c o u n t S t o r a g e >  
         < A c c o u n t S t o r a g e >  
             < A c c o u n t B a l a n c e s >  
                 < A c c o u n t B a l a n c e >  
                     < F i e l d N a m e > P r i o r P e r i o d 1 B a l a n c e < / F i e l d N a m e >  
                     < B a l a n c e > 4 < / B a l a n c e >  
                 < / A c c o u n t B a l a n c e >  
                 < A c c o u n t B a l a n c e >  
                     < F i e l d N a m e > P r i o r P e r i o d 2 B a l a n c e < / F i e l d N a m e >  
                     < B a l a n c e > 4 < / B a l a n c e >  
                 < / A c c o u n t B a l a n c e >  
                 < A c c o u n t B a l a n c e >  
                     < F i e l d N a m e > P r i o r P e r i o d 3 B a l a n c e < / F i e l d N a m e >  
                     < B a l a n c e > 9 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 2 6 4 2 0 1 9 4 7 9 8 0 0 0 0 0 5 6 6 < / I D >  
             < T a r g e t A c c o u n t I D > 2 6 4 2 0 1 9 4 7 9 8 0 0 0 0 0 3 9 3 < / T a r g e t A c c o u n t I D >  
             < C h a r t I D > 2 6 4 2 0 1 9 4 7 9 8 0 0 0 0 0 2 3 1 < / C h a r t I D >  
             < I s L i n k e d > f a l s e < / I s L i n k e d >  
             < N u m b e r > 0 5 1 0 0 0 1 0 0 0 2 1 < / N u m b e r >  
             < N a m e > B a n k   C h a r g e s   -   J S   B a n k   L i m i t e d < / 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 2 6 4 2 0 1 9 4 7 9 8 0 0 0 0 0 5 6 7 < / I D >  
             < T a r g e t A c c o u n t I D > 2 6 4 2 0 1 9 4 7 9 8 0 0 0 0 0 3 9 3 < / T a r g e t A c c o u n t I D >  
             < C h a r t I D > 2 6 4 2 0 1 9 4 7 9 8 0 0 0 0 0 2 3 1 < / C h a r t I D >  
             < I s L i n k e d > f a l s e < / I s L i n k e d >  
             < N u m b e r > 0 5 1 0 0 0 1 0 0 0 2 2 < / N u m b e r >  
             < N a m e > B a n k   C h a r g e s   -   N r s p 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 2 6 4 2 0 1 9 4 7 9 8 0 0 0 0 0 5 6 8 < / I D >  
             < T a r g e t A c c o u n t I D > 2 6 4 2 0 1 9 4 7 9 8 0 0 0 0 0 3 9 3 < / T a r g e t A c c o u n t I D >  
             < C h a r t I D > 2 6 4 2 0 1 9 4 7 9 8 0 0 0 0 0 2 3 1 < / C h a r t I D >  
             < I s L i n k e d > f a l s e < / I s L i n k e d >  
             < N u m b e r > 0 5 1 0 0 0 1 0 0 0 2 3 < / N u m b e r >  
             < N a m e > B a n k   C h a r g e s   -   M o b i l i n k 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 2 6 4 2 0 1 9 4 7 9 8 0 0 0 0 0 5 6 9 < / I D >  
             < T a r g e t A c c o u n t I D > 2 6 4 2 0 1 9 4 7 9 8 0 0 0 0 0 3 9 3 < / T a r g e t A c c o u n t I D >  
             < C h a r t I D > 2 6 4 2 0 1 9 4 7 9 8 0 0 0 0 0 2 3 1 < / C h a r t I D >  
             < I s L i n k e d > f a l s e < / I s L i n k e d >  
             < N u m b e r > 0 5 1 0 0 0 1 0 0 0 2 4 < / N u m b e r >  
             < N a m e > B a n k   C h a r g e s 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 2 6 4 2 0 1 9 4 7 9 8 0 0 0 0 0 5 7 0 < / I D >  
             < T a r g e t A c c o u n t I D > 2 6 4 2 0 1 9 4 7 9 8 0 0 0 0 0 3 9 3 < / T a r g e t A c c o u n t I D >  
             < C h a r t I D > 2 6 4 2 0 1 9 4 7 9 8 0 0 0 0 0 2 3 1 < / C h a r t I D >  
             < I s L i n k e d > f a l s e < / I s L i n k e d >  
             < N u m b e r > 0 5 1 0 0 0 1 0 0 0 2 5 < / N u m b e r >  
             < N a m e > B a n k   C h a r g e s   -   K h u s h a l i   M i c r o f i n a n c e   B a n k   L i m i t e d < / 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 2 6 4 2 0 1 9 4 7 9 8 0 0 0 0 0 5 7 1 < / I D >  
             < T a r g e t A c c o u n t I D > 2 6 4 2 0 1 9 4 7 9 8 0 0 0 0 0 3 9 3 < / T a r g e t A c c o u n t I D >  
             < C h a r t I D > 2 6 4 2 0 1 9 4 7 9 8 0 0 0 0 0 2 3 1 < / C h a r t I D >  
             < I s L i n k e d > f a l s e < / I s L i n k e d >  
             < N u m b e r > 0 5 1 0 0 0 1 0 0 0 2 6 < / N u m b e r >  
             < N a m e > B a n k   C h a r g e s   -   T a m e e r 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 2 6 4 2 0 1 9 4 7 9 8 0 0 0 0 0 5 7 2 < / I D >  
             < T a r g e t A c c o u n t I D > 2 6 4 2 0 1 9 4 7 9 8 0 0 0 0 0 3 9 3 < / T a r g e t A c c o u n t I D >  
             < C h a r t I D > 2 6 4 2 0 1 9 4 7 9 8 0 0 0 0 0 2 3 1 < / C h a r t I D >  
             < I s L i n k e d > f a l s e < / I s L i n k e d >  
             < N u m b e r > 0 5 1 0 0 0 1 0 0 0 2 8 < / N u m b e r >  
             < N a m e > B a n k   C h a r g e s   -   F i n c a 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 2 6 4 2 0 1 9 4 7 9 8 0 0 0 0 0 5 8 8 < / I D >  
             < T a r g e t A c c o u n t I D > 2 6 4 2 0 1 9 4 7 9 8 0 0 0 0 0 3 9 3 < / T a r g e t A c c o u n t I D >  
             < C h a r t I D > 2 6 4 2 0 1 9 4 7 9 8 0 0 0 0 0 2 3 1 < / C h a r t I D >  
             < I s L i n k e d > f a l s e < / I s L i n k e d >  
             < N u m b e r > 0 5 1 0 0 0 1 0 0 0 3 0 < / N u m b e r >  
             < N a m e > B a n k   C h a r g e s   -   F i r s t   M i c r o   F i n a n c e   B a n k < / N a m e >  
             < A J E > 0 < / A J E >  
             < A d j u s t > 0 < / A d j u s t >  
             < R J E > 0 < / R J E >  
             < P r e l i m i n a r y > 0 < / P r e l i m i n a r y >  
             < F i n a l > 0 < / F i n a l >  
         < / A c c o u n t S t o r a g e >  
         < A c c o u n t S t o r a g e >  
             < A c c o u n t B a l a n c e s >  
                 < A c c o u n t B a l a n c e >  
                     < F i e l d N a m e > P r i o r P e r i o d 1 B a l a n c e < / F i e l d N a m e >  
                     < B a l a n c e > 1 8 < / B a l a n c e >  
                 < / A c c o u n t B a l a n c e >  
                 < A c c o u n t B a l a n c e >  
                     < F i e l d N a m e > P r i o r P e r i o d 2 B a l a n c e < / F i e l d N a m e >  
                     < B a l a n c e > 1 4 < / B a l a n c e >  
                 < / A c c o u n t B a l a n c e >  
                 < A c c o u n t B a l a n c e >  
                     < F i e l d N a m e > P r i o r P e r i o d 3 B a l a n c e < / F i e l d N a m e >  
                     < B a l a n c e > 1 1 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 2 9 6 1 8 1 5 9 6 0 0 0 0 0 0 0 0 1 9 < / I D >  
             < T a r g e t A c c o u n t I D > 2 6 4 2 0 1 9 4 7 9 8 0 0 0 0 0 3 9 3 < / T a r g e t A c c o u n t I D >  
             < C h a r t I D > 2 6 4 2 0 1 9 4 7 9 8 0 0 0 0 0 2 3 1 < / C h a r t I D >  
             < I s L i n k e d > f a l s e < / I s L i n k e d >  
             < N u m b e r > 0 5 1 0 0 0 1 0 0 0 3 1 < / N u m b e r >  
             < N a m e > B a n k   C h a r g e s   -   S i l k   B a n k   L i m i t e d < / N a m e >  
             < A J E > 0 < / A J E >  
             < A d j u s t > 8 < / A d j u s t >  
             < R J E > 0 < / R J E >  
             < P r e l i m i n a r y > 8 < / P r e l i m i n a r y >  
             < F i n a l > 8 < / F i n a l >  
         < / A c c o u n t S t o r a g e >  
         < A c c o u n t S t o r a g e >  
             < A c c o u n t B a l a n c e s >  
                 < A c c o u n t B a l a n c e >  
                     < F i e l d N a m e > P r i o r P e r i o d 1 B a l a n c e < / F i e l d N a m e >  
                     < B a l a n c e > 9 1 < / B a l a n c e >  
                 < / A c c o u n t B a l a n c e >  
                 < A c c o u n t B a l a n c e >  
                     < F i e l d N a m e > P r i o r P e r i o d 2 B a l a n c e < / F i e l d N a m e >  
                     < B a l a n c e > 9 1 < / B a l a n c e >  
                 < / A c c o u n t B a l a n c e >  
                 < A c c o u n t B a l a n c e >  
                     < F i e l d N a m e > P r i o r P e r i o d 3 B a l a n c e < / F i e l d N a m e >  
                     < B a l a n c e > 1 4 3 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 2 6 4 2 0 1 9 4 7 9 8 0 0 0 0 0 4 8 6 < / I D >  
             < T a r g e t A c c o u n t I D > 2 6 4 2 0 1 9 4 7 9 8 0 0 0 0 0 3 9 1 < / T a r g e t A c c o u n t I D >  
             < C h a r t I D > 2 6 4 2 0 1 9 4 7 9 8 0 0 0 0 0 2 3 1 < / C h a r t I D >  
             < I s L i n k e d > f a l s e < / I s L i n k e d >  
             < N u m b e r > 0 5 0 6 0 0 2 0 0 0 0 1 < / N u m b e r >  
             < N a m e > L E G A L   A N D   P R O F E S S I O N A L   C H A R G E S < / N a m e >  
             < A J E > 0 < / A J E >  
             < A d j u s t > 9 2 < / A d j u s t >  
             < R J E > 0 < / R J E >  
             < P r e l i m i n a r y > 9 2 < / P r e l i m i n a r y >  
             < F i n a l > 9 2 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 2 6 4 2 0 1 9 4 7 9 8 0 0 0 0 0 4 8 7 < / I D >  
             < T a r g e t A c c o u n t I D > 2 6 4 2 0 1 9 4 7 9 8 0 0 0 0 0 3 9 1 < / T a r g e t A c c o u n t I D >  
             < C h a r t I D > 2 6 4 2 0 1 9 4 7 9 8 0 0 0 0 0 2 3 1 < / C h a r t I D >  
             < I s L i n k e d > f a l s e < / I s L i n k e d >  
             < N u m b e r > 0 5 0 6 0 0 3 0 0 0 0 5 < / N u m b e r >  
             < N a m e > F E E   & a m p ;   S U B S C R I P   A N N U A L   L I S T I N G   F E E   L S E < / N a m e >  
             < A J E > 0 < / A J E >  
             < A d j u s t > 0 < / A d j u s t >  
             < R J E > 0 < / R J E >  
             < P r e l i m i n a r y > 0 < / P r e l i m i n a r y >  
             < F i n a l > 0 < / F i n a l >  
         < / A c c o u n t S t o r a g e >  
         < A c c o u n t S t o r a g e >  
             < A c c o u n t B a l a n c e s >  
                 < A c c o u n t B a l a n c e >  
                     < F i e l d N a m e > P r i o r P e r i o d 1 B a l a n c e < / F i e l d N a m e >  
                     < B a l a n c e > 2 9 < / B a l a n c e >  
                 < / A c c o u n t B a l a n c e >  
                 < A c c o u n t B a l a n c e >  
                     < F i e l d N a m e > P r i o r P e r i o d 2 B a l a n c e < / F i e l d N a m e >  
                     < B a l a n c e > 2 9 < / B a l a n c e >  
                 < / A c c o u n t B a l a n c e >  
                 < A c c o u n t B a l a n c e >  
                     < F i e l d N a m e > P r i o r P e r i o d 3 B a l a n c e < / F i e l d N a m e >  
                     < B a l a n c e > 2 2 9 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 2 6 4 2 0 1 9 4 7 9 8 0 0 0 0 0 4 8 8 < / I D >  
             < T a r g e t A c c o u n t I D > 2 6 4 2 0 1 9 4 7 9 8 0 0 0 0 0 3 9 1 < / T a r g e t A c c o u n t I D >  
             < C h a r t I D > 2 6 4 2 0 1 9 4 7 9 8 0 0 0 0 0 2 3 1 < / C h a r t I D >  
             < I s L i n k e d > f a l s e < / I s L i n k e d >  
             < N u m b e r > 0 5 0 6 0 0 3 0 0 0 0 6 < / N u m b e r >  
             < N a m e > F E E   & a m p ;   S U B S C R I P A N N U A L   P A C R A 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 2 6 4 2 0 1 9 4 7 9 8 0 0 0 0 0 4 8 9 < / I D >  
             < T a r g e t A c c o u n t I D > 2 6 4 2 0 1 9 4 7 9 8 0 0 0 0 0 3 9 1 < / T a r g e t A c c o u n t I D >  
             < C h a r t I D > 2 6 4 2 0 1 9 4 7 9 8 0 0 0 0 0 2 3 1 < / C h a r t I D >  
             < I s L i n k e d > f a l s e < / I s L i n k e d >  
             < N u m b e r > 0 5 0 6 0 0 3 0 0 0 0 8 < / N u m b e r >  
             < N a m e > F e e   & a m p ;   S u b s c r i p a n n u a l   L i s t i n g   F e e   I s e < / N a m e >  
             < A J E > 0 < / A J E >  
             < A d j u s t > 0 < / A d j u s t >  
             < R J E > 0 < / R J E >  
             < P r e l i m i n a r y > 0 < / P r e l i m i n a r y >  
             < F i n a l > 0 < / 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 1 4 < / B a l a n c e >  
                 < / A c c o u n t B a l a n c e >  
                 < A c c o u n t B a l a n c e >  
                     < F i e l d N a m e > P r i o r P e r i o d 3 B a l a n c e < / F i e l d N a m e >  
                     < B a l a n c e > 2 8 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 2 6 4 2 0 1 9 4 7 9 8 0 0 0 0 0 5 0 3 < / I D >  
             < T a r g e t A c c o u n t I D > 2 6 4 2 0 1 9 4 7 9 8 0 0 0 0 0 3 9 1 < / T a r g e t A c c o u n t I D >  
             < C h a r t I D > 2 6 4 2 0 1 9 4 7 9 8 0 0 0 0 0 2 3 1 < / C h a r t I D >  
             < I s L i n k e d > f a l s e < / I s L i n k e d >  
             < N u m b e r > 0 5 0 6 0 0 3 0 0 0 0 9 < / N u m b e r >  
             < N a m e > F e e   & a m p ;   S u b s c r i p t i o n   A n n u a l   L i s t i n g   F e e   P s x < / N a m e >  
             < A J E > 0 < / A J E >  
             < A d j u s t > 1 4 < / A d j u s t >  
             < R J E > 0 < / R J E >  
             < P r e l i m i n a r y > 1 4 < / P r e l i m i n a r y >  
             < F i n a l > 1 4 < / F i n a l >  
         < / A c c o u n t S t o r a g e >  
         < A c c o u n t S t o r a g e >  
             < A c c o u n t B a l a n c e s >  
                 < A c c o u n t B a l a n c e >  
                     < F i e l d N a m e > P r i o r P e r i o d 1 B a l a n c e < / F i e l d N a m e >  
                     < B a l a n c e > 9 7 < / B a l a n c e >  
                 < / A c c o u n t B a l a n c e >  
                 < A c c o u n t B a l a n c e >  
                     < F i e l d N a m e > P r i o r P e r i o d 2 B a l a n c e < / F i e l d N a m e >  
                     < B a l a n c e > 9 7 < / B a l a n c e >  
                 < / A c c o u n t B a l a n c e >  
                 < A c c o u n t B a l a n c e >  
                     < F i e l d N a m e > P r i o r P e r i o d 3 B a l a n c e < / F i e l d N a m e >  
                     < B a l a n c e > 1 5 3 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 2 6 4 2 0 1 9 4 7 9 8 0 0 0 0 0 5 6 2 < / I D >  
             < T a r g e t A c c o u n t I D > 2 6 4 2 0 1 9 4 7 9 8 0 0 0 0 0 3 9 1 < / T a r g e t A c c o u n t I D >  
             < C h a r t I D > 2 6 4 2 0 1 9 4 7 9 8 0 0 0 0 0 2 3 1 < / C h a r t I D >  
             < I s L i n k e d > f a l s e < / I s L i n k e d >  
             < N u m b e r > 0 5 0 6 0 0 3 0 0 0 1 0 < / N u m b e r >  
             < N a m e > F e e   & a m p ;   S u b s c r i p t i o n   A n n u a l   M t s   C h a r g e s < / N a m e >  
             < A J E > 0 < / A J E >  
             < A d j u s t > 1 2 6 < / A d j u s t >  
             < R J E > 0 < / R J E >  
             < P r e l i m i n a r y > 1 2 6 < / P r e l i m i n a r y >  
             < F i n a l > 1 2 6 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 2 6 4 2 0 1 9 4 7 9 8 0 0 0 0 0 5 0 8 < / I D >  
             < T a r g e t A c c o u n t I D > 2 6 4 2 0 1 9 4 7 9 8 0 0 0 0 0 3 9 1 < / T a r g e t A c c o u n t I D >  
             < C h a r t I D > 2 6 4 2 0 1 9 4 7 9 8 0 0 0 0 0 2 3 1 < / C h a r t I D >  
             < I s L i n k e d > f a l s e < / I s L i n k e d >  
             < N u m b e r > 0 5 0 6 0 0 4 0 0 0 0 1 < / N u m b e r >  
             < N a m e > S i n d h   S a l e s   T a x   R e g i s t r a t i o n   C h a r g e s < / N a m e >  
             < A J E > 0 < / A J E >  
             < A d j u s t > 0 < / A d j u s t >  
             < R J E > 0 < / R J E >  
             < P r e l i m i n a r y > 0 < / P r e l i m i n a r y >  
             < F i n a l > 0 < / F i n a l >  
         < / A c c o u n t S t o r a g e >  
         < A c c o u n t S t o r a g e >  
             < A c c o u n t B a l a n c e s >  
                 < A c c o u n t B a l a n c e >  
                     < F i e l d N a m e > P r i o r P e r i o d 1 B a l a n c e < / F i e l d N a m e >  
                     < B a l a n c e > 1 6 < / B a l a n c e >  
                 < / A c c o u n t B a l a n c e >  
                 < A c c o u n t B a l a n c e >  
                     < F i e l d N a m e > P r i o r P e r i o d 2 B a l a n c e < / F i e l d N a m e >  
                     < B a l a n c e > 1 6 < / B a l a n c e >  
                 < / A c c o u n t B a l a n c e >  
                 < A c c o u n t B a l a n c e >  
                     < F i e l d N a m e > P r i o r P e r i o d 3 B a l a n c e < / F i e l d N a m e >  
                     < B a l a n c e > 2 7 3 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 2 6 4 2 0 1 9 4 7 9 8 0 0 0 0 0 5 5 9 < / I D >  
             < T a r g e t A c c o u n t I D > 2 6 4 2 0 1 9 4 7 9 8 0 0 0 0 0 3 5 6 < / T a r g e t A c c o u n t I D >  
             < C h a r t I D > 2 6 4 2 0 1 9 4 7 9 8 0 0 0 0 0 2 3 1 < / C h a r t I D >  
             < I s L i n k e d > f a l s e < / I s L i n k e d >  
             < N u m b e r > 0 5 0 2 0 0 5 0 0 0 1 < / N u m b e r >  
             < N a m e > L a g a   A n d   L e v y   C h a r g e s   O n   M t s < / N a m e >  
             < A J E > 0 < / A J E >  
             < A d j u s t > 0 < / A d j u s t >  
             < R J E > 0 < / R J E >  
             < P r e l i m i n a r y > 0 < / P r e l i m i n a r y >  
             < F i n a l > 0 < / F i n a l >  
         < / A c c o u n t S t o r a g e >  
         < A c c o u n t S t o r a g e >  
             < A c c o u n t B a l a n c e s >  
                 < A c c o u n t B a l a n c e >  
                     < F i e l d N a m e > P r i o r P e r i o d 1 B a l a n c e < / F i e l d N a m e >  
                     < B a l a n c e > 2 5 < / B a l a n c e >  
                 < / A c c o u n t B a l a n c e >  
                 < A c c o u n t B a l a n c e >  
                     < F i e l d N a m e > P r i o r P e r i o d 2 B a l a n c e < / F i e l d N a m e >  
                     < B a l a n c e > 2 5 < / B a l a n c e >  
                 < / A c c o u n t B a l a n c e >  
                 < A c c o u n t B a l a n c e >  
                     < F i e l d N a m e > P r i o r P e r i o d 3 B a l a n c e < / F i e l d N a m e >  
                     < B a l a n c e > 3 5 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 2 6 4 2 0 1 9 4 7 9 8 0 0 0 0 0 4 9 0 < / I D >  
             < T a r g e t A c c o u n t I D > 2 6 4 2 0 1 9 4 7 9 8 0 0 0 0 0 3 7 9 < / T a r g e t A c c o u n t I D >  
             < C h a r t I D > 2 6 4 2 0 1 9 4 7 9 8 0 0 0 0 0 2 3 1 < / C h a r t I D >  
             < I s L i n k e d > f a l s e < / I s L i n k e d >  
             < N u m b e r > 0 5 0 7 0 0 1 0 0 0 0 1 < / N u m b e r >  
             < N a m e > P R I N T I N G   O F   A C C O U N T S   C H A R G E S < / N a m e >  
             < A J E > 0 < / A J E >  
             < A d j u s t > 1 7 < / A d j u s t >  
             < R J E > 0 < / R J E >  
             < P r e l i m i n a r y > 1 7 < / P r e l i m i n a r y >  
             < F i n a l > 1 7 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 2 6 4 2 0 1 9 4 7 9 8 0 0 0 0 0 4 9 1 < / I D >  
             < T a r g e t A c c o u n t I D > 2 6 4 2 0 1 9 4 7 9 8 0 0 0 0 0 3 7 9 < / T a r g e t A c c o u n t I D >  
             < C h a r t I D > 2 6 4 2 0 1 9 4 7 9 8 0 0 0 0 0 2 3 1 < / C h a r t I D >  
             < I s L i n k e d > f a l s e < / I s L i n k e d >  
             < N u m b e r > 0 5 0 7 0 0 2 0 0 0 0 1 < / N u m b e r >  
             < N a m e > D E S P A T C H   A N D   C O U R I E R   C H A R G E S   O F   A C C O U N T S 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 2 6 4 2 0 1 9 4 7 9 8 0 0 0 0 0 5 7 3 < / I D >  
             < T a r g e t A c c o u n t I D > 2 6 4 2 0 1 9 4 7 9 8 0 0 0 0 0 3 7 9 < / T a r g e t A c c o u n t I D >  
             < C h a r t I D > 2 6 4 2 0 1 9 4 7 9 8 0 0 0 0 0 2 3 1 < / C h a r t I D >  
             < I s L i n k e d > f a l s e < / I s L i n k e d >  
             < N u m b e r > D T 2 < / N u m b e r >  
             < N a m e > R o u n d i n g   d i f f e r e n c e < / N a m e >  
             < A J E > 0 < / A J E >  
             < A d j u s t > 0 < / A d j u s t >  
             < R J E > 0 < / R J E >  
             < P r e l i m i n a r y > 0 < / P r e l i m i n a r y >  
             < F i n a l > 0 < / F i n a l >  
         < / A c c o u n t S t o r a g e >  
         < A c c o u n t S t o r a g e >  
             < A c c o u n t B a l a n c e s >  
                 < A c c o u n t B a l a n c e >  
                     < F i e l d N a m e > P r i o r P e r i o d 1 B a l a n c e < / F i e l d N a m e >  
                     < B a l a n c e > 3 3 4 < / B a l a n c e >  
                 < / A c c o u n t B a l a n c e >  
                 < A c c o u n t B a l a n c e >  
                     < F i e l d N a m e > P r i o r P e r i o d 2 B a l a n c e < / F i e l d N a m e >  
                     < B a l a n c e > 3 3 4 < / B a l a n c e >  
                 < / A c c o u n t B a l a n c e >  
                 < A c c o u n t B a l a n c e >  
                     < F i e l d N a m e > P r i o r P e r i o d 3 B a l a n c e < / F i e l d N a m e >  
                     < B a l a n c e > 6 6 6 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 2 6 4 2 0 1 9 4 7 9 8 0 0 0 0 0 4 8 4 < / I D >  
             < T a r g e t A c c o u n t I D > 2 6 4 2 0 1 9 4 7 9 8 0 0 0 0 0 3 9 7 < / T a r g e t A c c o u n t I D >  
             < C h a r t I D > 2 6 4 2 0 1 9 4 7 9 8 0 0 0 0 0 2 3 1 < / C h a r t I D >  
             < I s L i n k e d > f a l s e < / I s L i n k e d >  
             < N u m b e r > 0 5 0 6 0 0 1 0 0 0 0 1 < / N u m b e r >  
             < N a m e > A U D I T   F E E   E X P E N S E < / N a m e >  
             < A J E > 0 < / A J E >  
             < A d j u s t > 3 2 4 < / A d j u s t >  
             < R J E > 0 < / R J E >  
             < P r e l i m i n a r y > 3 2 4 < / P r e l i m i n a r y >  
             < F i n a l > 3 2 4 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 2 6 4 2 0 1 9 4 7 9 8 0 0 0 0 0 4 8 5 < / I D >  
             < T a r g e t A c c o u n t I D > 2 6 4 2 0 1 9 4 7 9 8 0 0 0 0 0 3 9 7 < / T a r g e t A c c o u n t I D >  
             < C h a r t I D > 2 6 4 2 0 1 9 4 7 9 8 0 0 0 0 0 2 3 1 < / C h a r t I D >  
             < I s L i n k e d > f a l s e < / I s L i n k e d >  
             < N u m b e r > 0 5 0 6 0 0 1 0 0 0 0 2 < / N u m b e r >  
             < N a m e > O U T   O F   P O C K E T   E X P E N S E S < / N a m e >  
             < A J E > 0 < / A J E >  
             < A d j u s t > 2 7 < / A d j u s t >  
             < R J E > 0 < / R J E >  
             < P r e l i m i n a r y > 2 7 < / P r e l i m i n a r y >  
             < F i n a l > 2 7 < / F i n a l >  
         < / A c c o u n t S t o r a g e >  
         < A c c o u n t S t o r a g e >  
             < A c c o u n t B a l a n c e s >  
                 < A c c o u n t B a l a n c e >  
                     < F i e l d N a m e > P r i o r P e r i o d 1 B a l a n c e < / F i e l d N a m e >  
                     < B a l a n c e > 7 4 < / B a l a n c e >  
                 < / A c c o u n t B a l a n c e >  
                 < A c c o u n t B a l a n c e >  
                     < F i e l d N a m e > P r i o r P e r i o d 2 B a l a n c e < / F i e l d N a m e >  
                     < B a l a n c e > 7 4 < / B a l a n c e >  
                 < / A c c o u n t B a l a n c e >  
                 < A c c o u n t B a l a n c e >  
                     < F i e l d N a m e > P r i o r P e r i o d 3 B a l a n c e < / F i e l d N a m e >  
                     < B a l a n c e > 1 4 8 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 2 9 6 1 8 1 5 9 6 0 0 0 0 0 0 0 0 1 8 < / I D >  
             < T a r g e t A c c o u n t I D > 2 6 4 2 0 1 9 4 7 9 8 0 0 0 0 0 3 6 3 < / T a r g e t A c c o u n t I D >  
             < C h a r t I D > 2 6 4 2 0 1 9 4 7 9 8 0 0 0 0 0 2 3 1 < / C h a r t I D >  
             < I s L i n k e d > f a l s e < / I s L i n k e d >  
             < N u m b e r > 0 5 0 8 0 0 1 0 0 0 0 1 < / N u m b e r >  
             < N a m e > A M O R T I Z A T I O N   O F   F O R M A T I O N   C O S T < / N a m e >  
             < A J E > 0 < / A J E >  
             < A d j u s t > 7 4 < / A d j u s t >  
             < R J E > 0 < / R J E >  
             < P r e l i m i n a r y > 7 4 < / P r e l i m i n a r y >  
             < F i n a l > 7 4 < / F i n a l >  
         < / A c c o u n t S t o r a g e >  
         < A c c o u n t S t o r a g e >  
             < A c c o u n t B a l a n c e s >  
                 < A c c o u n t B a l a n c e >  
                     < F i e l d N a m e > P r i o r P e r i o d 1 B a l a n c e < / F i e l d N a m e >  
                     < B a l a n c e > 1 8 1 < / B a l a n c e >  
                 < / A c c o u n t B a l a n c e >  
                 < A c c o u n t B a l a n c e >  
                     < F i e l d N a m e > P r i o r P e r i o d 2 B a l a n c e < / F i e l d N a m e >  
                     < B a l a n c e > 1 8 1 < / B a l a n c e >  
                 < / A c c o u n t B a l a n c e >  
                 < A c c o u n t B a l a n c e >  
                     < F i e l d N a m e > P r i o r P e r i o d 3 B a l a n c e < / F i e l d N a m e >  
                     < B a l a n c e > 5 8 2 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 2 6 4 2 0 1 9 4 7 9 8 0 0 0 0 0 4 8 3 < / I D >  
             < T a r g e t A c c o u n t I D > 2 6 4 2 0 1 9 4 7 9 8 0 0 0 0 0 3 7 0 < / T a r g e t A c c o u n t I D >  
             < C h a r t I D > 2 6 4 2 0 1 9 4 7 9 8 0 0 0 0 0 2 3 1 < / C h a r t I D >  
             < I s L i n k e d > f a l s e < / I s L i n k e d >  
             < N u m b e r > 0 5 0 5 0 0 1 0 0 0 0 1 < / N u m b e r >  
             < N a m e > T A X A T I O N W O R K E R S   W E L F A R E   F U N D   ( W W F ) < / N a m e >  
             < A J E > 0 < / A J E >  
             < A d j u s t > 2 0 2 < / A d j u s t >  
             < R J E > 0 < / R J E >  
             < P r e l i m i n a r y > 2 0 2 < / P r e l i m i n a r y >  
             < F i n a l > 2 0 2 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 2 6 4 2 0 1 9 4 7 9 8 0 0 0 0 0 5 6 1 < / I D >  
             < T a r g e t A c c o u n t I D > 2 6 4 2 0 1 9 4 7 9 8 0 0 0 0 0 3 7 0 < / T a r g e t A c c o u n t I D >  
             < C h a r t I D > 2 6 4 2 0 1 9 4 7 9 8 0 0 0 0 0 2 3 1 < / C h a r t I D >  
             < I s L i n k e d > f a l s e < / I s L i n k e d >  
             < N u m b e r > 0 5 0 5 0 0 1 0 0 0 0 2 < / N u m b e r >  
             < N a m e > T a x a t i o n w o r k e r s   W e l f a r e   F u n d   ( W w f )   -   R e v e r s a l < / N a m e >  
             < A J E > 0 < / A J E >  
             < A d j u s t > 0 < / A d j u s t >  
             < R J E > 0 < / R J E >  
             < P r e l i m i n a r y > 0 < / P r e l i m i n a r y >  
             < F i n a l > 0 < / F i n a l >  
         < / A c c o u n t S t o r a g e >  
         < A c c o u n t S t o r a g e >  
             < A c c o u n t B a l a n c e s >  
                 < A c c o u n t B a l a n c e >  
                     < F i e l d N a m e > P r i o r P e r i o d 1 B a l a n c e < / F i e l d N a m e >  
                     < B a l a n c e > 3 3 < / B a l a n c e >  
                 < / A c c o u n t B a l a n c e >  
                 < A c c o u n t B a l a n c e >  
                     < F i e l d N a m e > P r i o r P e r i o d 2 B a l a n c e < / F i e l d N a m e >  
                     < B a l a n c e > 3 3 < / B a l a n c e >  
                 < / A c c o u n t B a l a n c e >  
                 < A c c o u n t B a l a n c e >  
                     < F i e l d N a m e > P r i o r P e r i o d 3 B a l a n c e < / F i e l d N a m e >  
                     < B a l a n c e > 1 0 4 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 2 6 4 2 0 1 9 4 7 9 8 0 0 0 0 0 4 7 5 < / I D >  
             < T a r g e t A c c o u n t I D > 2 6 4 2 0 1 9 4 7 9 8 0 0 0 0 0 3 9 5 < / T a r g e t A c c o u n t I D >  
             < C h a r t I D > 2 6 4 2 0 1 9 4 7 9 8 0 0 0 0 0 2 3 1 < / C h a r t I D >  
             < I s L i n k e d > f a l s e < / I s L i n k e d >  
             < N u m b e r > 0 5 0 1 0 0 2 0 0 0 0 2 < / N u m b e r >  
             < N a m e > S a l e s   T a x   O n   T r u s t e e   F e e < / N a m e >  
             < A J E > 0 < / A J E >  
             < A d j u s t > 3 3 < / A d j u s t >  
             < R J E > 0 < / R J E >  
             < P r e l i m i n a r y > 3 3 < / P r e l i m i n a r y >  
             < F i n a l > 3 3 < / F i n a l >  
         < / A c c o u n t S t o r a g e >  
         < A c c o u n t S t o r a g e >  
             < A c c o u n t B a l a n c e s >  
                 < A c c o u n t B a l a n c e >  
                     < F i e l d N a m e > P r i o r P e r i o d 1 B a l a n c e < / F i e l d N a m e >  
                     < B a l a n c e > 1 9 2 < / B a l a n c e >  
                 < / A c c o u n t B a l a n c e >  
                 < A c c o u n t B a l a n c e >  
                     < F i e l d N a m e > P r i o r P e r i o d 2 B a l a n c e < / F i e l d N a m e >  
                     < B a l a n c e > 1 9 2 < / B a l a n c e >  
                 < / A c c o u n t B a l a n c e >  
                 < A c c o u n t B a l a n c e >  
                     < F i e l d N a m e > P r i o r P e r i o d 3 B a l a n c e < / F i e l d N a m e >  
                     < B a l a n c e > 6 6 4 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 2 6 4 2 0 1 9 4 7 9 8 0 0 0 0 0 4 7 7 < / I D >  
             < T a r g e t A c c o u n t I D > 2 6 4 2 0 1 9 4 7 9 8 0 0 0 0 0 4 0 3 < / T a r g e t A c c o u n t I D >  
             < C h a r t I D > 2 6 4 2 0 1 9 4 7 9 8 0 0 0 0 0 2 3 1 < / C h a r t I D >  
             < I s L i n k e d > f a l s e < / I s L i n k e d >  
             < N u m b e r > 0 5 0 1 0 0 5 0 0 0 0 1 < / N u m b e r >  
             < N a m e > B a c k   O f f i c e   O p e r a t i o n   E x p e n s e s < / N a m e >  
             < A J E > 0 < / A J E >  
             < A d j u s t > 1 0 1 < / A d j u s t >  
             < R J E > 0 < / R J E >  
             < P r e l i m i n a r y > 1 0 1 < / P r e l i m i n a r y >  
             < F i n a l > 1 0 1 < / F i n a l >  
         < / A c c o u n t S t o r a g e >  
         < A c c o u n t S t o r a g e >  
             < A c c o u n t B a l a n c e s >  
                 < A c c o u n t B a l a n c e >  
                     < F i e l d N a m e > P r i o r P e r i o d 1 B a l a n c e < / F i e l d N a m e >  
                     < B a l a n c e > 2 5 < / B a l a n c e >  
                 < / A c c o u n t B a l a n c e >  
                 < A c c o u n t B a l a n c e >  
                     < F i e l d N a m e > P r i o r P e r i o d 2 B a l a n c e < / F i e l d N a m e >  
                     < B a l a n c e > 2 5 < / B a l a n c e >  
                 < / A c c o u n t B a l a n c e >  
                 < A c c o u n t B a l a n c e >  
                     < F i e l d N a m e > P r i o r P e r i o d 3 B a l a n c e < / F i e l d N a m e >  
                     < B a l a n c e > 8 6 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 2 6 4 2 0 1 9 4 7 9 8 0 0 0 0 0 4 7 8 < / I D >  
             < T a r g e t A c c o u n t I D > 2 6 4 2 0 1 9 4 7 9 8 0 0 0 0 0 4 0 3 < / T a r g e t A c c o u n t I D >  
             < C h a r t I D > 2 6 4 2 0 1 9 4 7 9 8 0 0 0 0 0 2 3 1 < / C h a r t I D >  
             < I s L i n k e d > f a l s e < / I s L i n k e d >  
             < N u m b e r > 0 5 0 1 0 0 5 0 0 0 0 2 < / N u m b e r >  
             < N a m e > S S T   o n   B a c k   O f f i c e   O p e r a t i o n   E x p e n s e s < / N a m e >  
             < A J E > 0 < / A J E >  
             < A d j u s t > 0 < / A d j u s t >  
             < R J E > 0 < / R J E >  
             < P r e l i m i n a r y > 0 < / P r e l i m i n a r y >  
             < F i n a l > 0 < / F i n a l >  
         < / A c c o u n t S t o r a g e >  
         < A c c o u n t S t o r a g e >  
             < A c c o u n t B a l a n c e s >  
                 < A c c o u n t B a l a n c e >  
                     < F i e l d N a m e > P r i o r P e r i o d 1 B a l a n c e < / F i e l d N a m e >  
                     < B a l a n c e > 3 7 9 < / B a l a n c e >  
                 < / A c c o u n t B a l a n c e >  
                 < A c c o u n t B a l a n c e >  
                     < F i e l d N a m e > P r i o r P e r i o d 2 B a l a n c e < / F i e l d N a m e >  
                     < B a l a n c e > 3 7 9 < / B a l a n c e >  
                 < / A c c o u n t B a l a n c e >  
                 < A c c o u n t B a l a n c e >  
                     < F i e l d N a m e > P r i o r P e r i o d 3 B a l a n c e < / F i e l d N a m e >  
                     < B a l a n c e > - 1 4 7 2 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 2 6 4 2 0 1 9 4 7 9 8 0 0 0 0 0 4 6 7 < / I D >  
             < T a r g e t A c c o u n t I D > 2 6 4 2 0 1 9 4 7 9 8 0 0 0 0 0 2 5 5 < / T a r g e t A c c o u n t I D >  
             < C h a r t I D > 2 6 4 2 0 1 9 4 7 9 8 0 0 0 0 0 2 3 1 < / C h a r t I D >  
             < I s L i n k e d > f a l s e < / I s L i n k e d >  
             < N u m b e r > 0 4 0 4 0 0 1 0 0 0 0 1 < / N u m b e r >  
             < N a m e > E L E M E N T   O F   I N C O M E   -   R E A L I Z E D < / N a m e >  
             < A J E > 0 < / A J E >  
             < A d j u s t > 8 2 < / A d j u s t >  
             < R J E > 0 < / R J E >  
             < P r e l i m i n a r y > 8 2 < / P r e l i m i n a r y >  
             < F i n a l > 8 2 < / F i n a l >  
         < / A c c o u n t S t o r a g e >  
         < A c c o u n t S t o r a g e >  
             < A c c o u n t B a l a n c e s >  
                 < A c c o u n t B a l a n c e >  
                     < F i e l d N a m e > P r i o r P e r i o d 1 B a l a n c e < / F i e l d N a m e >  
                     < B a l a n c e > 1 3 2 5 < / B a l a n c e >  
                 < / A c c o u n t B a l a n c e >  
                 < A c c o u n t B a l a n c e >  
                     < F i e l d N a m e > P r i o r P e r i o d 2 B a l a n c e < / F i e l d N a m e >  
                     < B a l a n c e > 1 3 2 5 < / B a l a n c e >  
                 < / A c c o u n t B a l a n c e >  
                 < A c c o u n t B a l a n c e >  
                     < F i e l d N a m e > P r i o r P e r i o d 3 B a l a n c e < / F i e l d N a m e >  
                     < B a l a n c e > 5 7 9 4 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 2 6 4 2 0 1 9 4 7 9 8 0 0 0 0 0 4 6 8 < / I D >  
             < T a r g e t A c c o u n t I D > 2 6 4 2 0 1 9 4 7 9 8 0 0 0 0 0 2 4 6 < / T a r g e t A c c o u n t I D >  
             < C h a r t I D > 2 6 4 2 0 1 9 4 7 9 8 0 0 0 0 0 2 3 1 < / C h a r t I D >  
             < I s L i n k e d > f a l s e < / I s L i n k e d >  
             < N u m b e r > 0 4 0 4 0 0 2 0 0 0 0 1 < / N u m b e r >  
             < N a m e > E L E M E N T   O F   I N C O M E   -   U N R E A L I Z E D < / N a m e >  
             < A J E > 0 < / A J E >  
             < A d j u s t > 1 5 3 0 < / A d j u s t >  
             < R J E > 0 < / R J E >  
             < P r e l i m i n a r y > 1 5 3 0 < / P r e l i m i n a r y >  
             < F i n a l > 1 5 3 0 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 1 0 5 3 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 2 9 6 1 8 1 5 9 6 0 0 0 0 0 0 0 0 1 7 < / I D >  
             < T a r g e t A c c o u n t I D > 2 9 6 1 8 1 5 9 6 0 0 0 0 0 0 0 0 2 3 < / T a r g e t A c c o u n t I D >  
             < C h a r t I D > 2 6 4 2 0 1 9 4 7 9 8 0 0 0 0 0 2 3 1 < / C h a r t I D >  
             < I s L i n k e d > f a l s e < / I s L i n k e d >  
             < N u m b e r > 0 5 0 1 0 0 6 0 0 1 < / N u m b e r >  
             < N a m e > M a r k e t i n g   A n d   S e l l i n g   E x p e n s e < / N a m e >  
             < A J E > 0 < / A J E >  
             < A d j u s t > 5 8 2 < / A d j u s t >  
             < R J E > 0 < / R J E >  
             < P r e l i m i n a r y > 5 8 2 < / P r e l i m i n a r y >  
             < F i n a l > 5 8 2 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 2 9 6 1 8 1 5 9 6 0 0 0 0 0 0 1 8 7 5 < / I D >  
             < T a r g e t A c c o u n t I D > 2 9 6 1 8 1 5 9 6 0 0 0 0 0 0 1 8 7 6 < / T a r g e t A c c o u n t I D >  
             < C h a r t I D > 2 6 4 2 0 1 9 4 7 9 8 0 0 0 0 0 2 3 1 < / C h a r t I D >  
             < I s L i n k e d > f a l s e < / I s L i n k e d >  
             < N u m b e r > 0 5 1 0 0 0 1 0 0 0 2 9 < / N u m b e r >  
             < N a m e > R e l a t e d   p a r t i e s   d i s c l o s u r e s < / N a m e >  
             < A J E > 0 < / A J E >  
             < A d j u s t > 0 < / A d j u s t >  
             < R J E > 0 < / R J E >  
             < P r e l i m i n a r y > 0 < / P r e l i m i n a r y >  
             < F i n a l > 0 < / F i n a l >  
         < / A c c o u n t S t o r a g e >  
         < A c c o u n t S t o r a g e >  
             < A c c o u n t B a l a n c e s >  
                 < A c c o u n t B a l a n c e >  
                     < F i e l d N a m e > P r i o r P e r i o d 1 B a l a n c e < / F i e l d N a m e >  
                     < B a l a n c e > - 1 0 5 7 9 < / 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 3 2 7 2 8 3 0 1 5 3 7 0 0 0 0 0 0 0 3 < / I D >  
             < T a r g e t A c c o u n t I D > 3 2 7 2 8 3 0 1 5 3 7 0 0 0 0 0 0 0 6 < / T a r g e t A c c o u n t I D >  
             < C h a r t I D > 2 6 4 2 0 1 9 4 7 9 8 0 0 0 0 0 2 3 1 < / C h a r t I D >  
             < I s L i n k e d > f a l s e < / I s L i n k e d >  
             < N u m b e r > D T T - 0 1 < / N u m b e r >  
             < N a m e > H a l f   Y e a r   D i f f e r e n c e < / N a m e >  
             < A J E > 0 < / A J E >  
             < A d j u s t > 0 < / A d j u s t >  
             < R J E > 0 < / R J E >  
             < P r e l i m i n a r y > 0 < / P r e l i m i n a r y >  
             < F i n a l > 0 < / F i n a l >  
         < / A c c o u n t S t o r a g e >  
     < / A c c o u n t s >  
     < C o m p a n i e s / >  
 < / L e a d S h e e t D a t a S t o r a g e > 
</file>

<file path=customXml/item5.xml><?xml version="1.0" encoding="utf-8"?>
<DAEMSEngagementItemInfo xmlns="http://schemas.microsoft.com/DAEMSEngagementItemInfoXML">
  <EngagementID>5000023991</EngagementID>
  <LogicalEMSServerID>1965072166277195099</LogicalEMSServerID>
  <WorkingPaperID>2961815960000000855</WorkingPaperID>
</DAEMSEngagementItemInfo>
</file>

<file path=customXml/item6.xml><?xml version="1.0" encoding="utf-8"?>
<boolean xmlns="http://schemas.dtt.com/da/IsFirstTimeLoaded">true</boolean>
</file>

<file path=customXml/item7.xml><?xml version="1.0" encoding="utf-8"?>
<boolean xmlns="http://schemas.dtt.com/da/LeadSheetOpenXML">true</boolean>
</file>

<file path=customXml/item8.xml>��< ? x m l   v e r s i o n = " 1 . 0 "   e n c o d i n g = " u t f - 1 6 " ? > < b o o l e a n > f a l s e < / b o o l e a n > 
</file>

<file path=customXml/item9.xml>��< ? x m l   v e r s i o n = " 1 . 0 "   e n c o d i n g = " u t f - 1 6 " ? > < L e a d S h e e t P a r a m s   x m l n s : x s d = " h t t p : / / w w w . w 3 . o r g / 2 0 0 1 / X M L S c h e m a "   x m l n s : x s i = " h t t p : / / w w w . w 3 . o r g / 2 0 0 1 / X M L S c h e m a - i n s t a n c e " >  
     < I s M a p p e d T o D e t a i l E n g L e v e l > f a l s e < / I s M a p p e d T o D e t a i l E n g L e v e l >  
     < T B P a i I D > 2 6 4 2 0 1 9 4 7 9 8 0 0 0 0 0 2 3 0 < / T B P a i I D >  
     < E n g a g e m e n t I D > 5 0 0 0 0 0 7 5 4 3 < / E n g a g e m e n t I D >  
     < T a r g e t C h a r t I D > 2 6 4 2 0 1 9 4 7 9 8 0 0 0 0 0 2 3 2 < / T a r g e t C h a r t I D >  
     < C o m p a r i s o n C o l u m n >  
         < F i e l d N a m e > P r i o r P e r i o d 1 B a l a n c e < / F i e l d N a m e >  
         < U s e r D i s p l a y N a m e > P r i o r   P e r i o d < / U s e r D i s p l a y N a m e >  
     < / C o m p a r i s o n C o l u m n >  
     < U s e r S e l e c t e d B a l a n c e C o l u m n s >  
         < C o l u m n I n f o >  
             < F i e l d N a m e > P r i o r P e r i o d 1 B a l a n c e < / F i e l d N a m e >  
             < U s e r D i s p l a y N a m e > P r i o r   P e r i o d < / U s e r D i s p l a y N a m e >  
         < / C o l u m n I n f o >  
     < / U s e r S e l e c t e d B a l a n c e C o l u m n s >  
     < L e v e l > D e t a i l < / L e v e l >  
     < R o u n d e d > t r u e < / R o u n d e d >  
     < C o m b i n e d > t r u e < / C o m b i n e d >  
     < T a r g e t A c c o u n t I n f o L i s t >  
         < A c c o u n t I n f o >  
             < I D > 2 6 4 2 0 1 9 4 7 9 8 0 0 0 0 0 4 1 5 < / I D >  
             < N a m e > B a n k   B a l a n c e s < / N a m e >  
             < N u m b e r > 5 1 1 0 . 1 < / N u m b e r >  
             < I s L i n k e d > f a l s e < / I s L i n k e d >  
             < C h a r t I D > 2 6 4 2 0 1 9 4 7 9 8 0 0 0 0 0 2 3 2 < / C h a r t I D >  
             < S e q u e n c e > 0 < / S e q u e n c e >  
         < / A c c o u n t I n f o >  
         < A c c o u n t I n f o >  
             < I D > 2 6 4 2 0 1 9 4 7 9 8 0 0 0 0 0 3 7 1 < / I D >  
             < N a m e > R e c e i v a b l e   a g a i n s t   s a l e   o f   i n v e s t m e n t < / N a m e >  
             < N u m b e r > 5 1 2 0 . 1 < / N u m b e r >  
             < I s L i n k e d > f a l s e < / I s L i n k e d >  
             < C h a r t I D > 2 6 4 2 0 1 9 4 7 9 8 0 0 0 0 0 2 3 2 < / C h a r t I D >  
             < S e q u e n c e > 0 < / S e q u e n c e >  
         < / A c c o u n t I n f o >  
         < A c c o u n t I n f o >  
             < I D > 2 6 4 2 0 1 9 4 7 9 8 0 0 0 0 0 4 2 8 < / I D >  
             < N a m e > R e c e i v a b l e   a g a i n s t   M a r g i n   T r a d i n g   S y s t e m   T r a n s a c t i o n s < / N a m e >  
             < N u m b e r > 5 1 2 0 . 1 A < / N u m b e r >  
             < I s L i n k e d > f a l s e < / I s L i n k e d >  
             < C h a r t I D > 2 6 4 2 0 1 9 4 7 9 8 0 0 0 0 0 2 3 2 < / C h a r t I D >  
             < S e q u e n c e > 0 < / S e q u e n c e >  
         < / A c c o u n t I n f o >  
         < A c c o u n t I n f o >  
             < I D > 2 6 4 2 0 1 9 4 7 9 8 0 0 0 0 0 4 1 6 < / I D >  
             < N a m e > T e r m   F i n a n c e   C e r t i f i c a t e s   -   H F T < / N a m e >  
             < N u m b e r > 5 1 3 0 . 1 < / N u m b e r >  
             < I s L i n k e d > f a l s e < / I s L i n k e d >  
             < C h a r t I D > 2 6 4 2 0 1 9 4 7 9 8 0 0 0 0 0 2 3 2 < / C h a r t I D >  
             < S e q u e n c e > 0 < / S e q u e n c e >  
         < / A c c o u n t I n f o >  
         < A c c o u n t I n f o >  
             < I D > 2 6 4 2 0 1 9 4 7 9 8 0 0 0 0 0 4 3 8 < / I D >  
             < N a m e > T e r m   F i n a n c e   C e r t i f i c a t e s   -   A F S < / N a m e >  
             < N u m b e r > 5 1 3 0 . 1 A < / N u m b e r >  
             < I s L i n k e d > f a l s e < / I s L i n k e d >  
             < C h a r t I D > 2 6 4 2 0 1 9 4 7 9 8 0 0 0 0 0 2 3 2 < / C h a r t I D >  
             < S e q u e n c e > 0 < / S e q u e n c e >  
         < / A c c o u n t I n f o >  
         < A c c o u n t I n f o >  
             < I D > 2 6 4 2 0 1 9 4 7 9 8 0 0 0 0 0 5 9 2 < / I D >  
             < N a m e > C e r t i f i c a t e   o f   M u s h a r i k a < / N a m e >  
             < N u m b e r > 5 1 3 0 . 2 < / N u m b e r >  
             < I s L i n k e d > f a l s e < / I s L i n k e d >  
             < C h a r t I D > 2 6 4 2 0 1 9 4 7 9 8 0 0 0 0 0 2 3 2 < / C h a r t I D >  
             < S e q u e n c e > 0 < / S e q u e n c e >  
         < / A c c o u n t I n f o >  
         < A c c o u n t I n f o >  
             < I D > 2 6 4 2 0 1 9 4 7 9 8 0 0 0 0 0 4 1 8 < / I D >  
             < N a m e > G o v e r n m e n t   s e c u r i t i e s   -   H F T < / N a m e >  
             < N u m b e r > 5 1 3 0 . 3 < / N u m b e r >  
             < I s L i n k e d > f a l s e < / I s L i n k e d >  
             < C h a r t I D > 2 6 4 2 0 1 9 4 7 9 8 0 0 0 0 0 2 3 2 < / C h a r t I D >  
             < S e q u e n c e > 0 < / S e q u e n c e >  
         < / A c c o u n t I n f o >  
         < A c c o u n t I n f o >  
             < I D > 2 6 4 2 0 1 9 4 7 9 8 0 0 0 0 0 4 3 7 < / I D >  
             < N a m e > G o v e r n m e n t   s e c u r i t i e s   -   A F S < / N a m e >  
             < N u m b e r > 5 1 3 0 . 3 A < / N u m b e r >  
             < I s L i n k e d > f a l s e < / I s L i n k e d >  
             < C h a r t I D > 2 6 4 2 0 1 9 4 7 9 8 0 0 0 0 0 2 3 2 < / C h a r t I D >  
             < S e q u e n c e > 0 < / S e q u e n c e >  
         < / A c c o u n t I n f o >  
         < A c c o u n t I n f o >  
             < I D > 2 6 4 2 0 1 9 4 7 9 8 0 0 0 0 0 3 0 6 < / I D >  
             < N a m e > I n v e s t m e n t   i n   E q u i t y   S e c u r i t i e s   -   H F T < / N a m e >  
             < N u m b e r > 5 1 3 0 . 4 < / N u m b e r >  
             < I s L i n k e d > f a l s e < / I s L i n k e d >  
             < C h a r t I D > 2 6 4 2 0 1 9 4 7 9 8 0 0 0 0 0 2 3 2 < / C h a r t I D >  
             < S e q u e n c e > 0 < / S e q u e n c e >  
         < / A c c o u n t I n f o >  
         < A c c o u n t I n f o >  
             < I D > 2 6 4 2 0 1 9 4 7 9 8 0 0 0 0 0 4 3 5 < / I D >  
             < N a m e > C o m m e r c i a l   P a p e r s   -   H F T < / N a m e >  
             < N u m b e r > 5 1 3 0 . 5 < / N u m b e r >  
             < I s L i n k e d > f a l s e < / I s L i n k e d >  
             < C h a r t I D > 2 6 4 2 0 1 9 4 7 9 8 0 0 0 0 0 2 3 2 < / C h a r t I D >  
             < S e q u e n c e > 0 < / S e q u e n c e >  
         < / A c c o u n t I n f o >  
         < A c c o u n t I n f o >  
             < I D > 2 6 4 2 0 1 9 4 7 9 8 0 0 0 0 0 3 1 3 < / I D >  
             < N a m e > I n v e s t m e n t   i n   T D R   -   A F S < / N a m e >  
             < N u m b e r > 5 1 4 0 . 1 < / N u m b e r >  
             < I s L i n k e d > f a l s e < / I s L i n k e d >  
             < C h a r t I D > 2 6 4 2 0 1 9 4 7 9 8 0 0 0 0 0 2 3 2 < / C h a r t I D >  
             < S e q u e n c e > 0 < / S e q u e n c e >  
         < / A c c o u n t I n f o >  
         < A c c o u n t I n f o >  
             < I D > 2 6 4 2 0 1 9 4 7 9 8 0 0 0 0 0 3 1 4 < / I D >  
             < N a m e > I n v e s t m e n t   i n   e q u i t y   s e c u r i t i e s   -   A F S < / N a m e >  
             < N u m b e r > 5 1 5 0 . 1 < / N u m b e r >  
             < I s L i n k e d > f a l s e < / I s L i n k e d >  
             < C h a r t I D > 2 6 4 2 0 1 9 4 7 9 8 0 0 0 0 0 2 3 2 < / C h a r t I D >  
             < S e q u e n c e > 0 < / S e q u e n c e >  
         < / A c c o u n t I n f o >  
         < A c c o u n t I n f o >  
             < I D > 2 6 4 2 0 1 9 4 7 9 8 0 0 0 0 0 4 1 0 < / I D >  
             < N a m e > D i v i d e n d   r e c e i v a b l e   o n   e q u i t y   s e c u r i t i e s < / N a m e >  
             < N u m b e r > 5 1 6 0 . 1 < / N u m b e r >  
             < I s L i n k e d > f a l s e < / I s L i n k e d >  
             < C h a r t I D > 2 6 4 2 0 1 9 4 7 9 8 0 0 0 0 0 2 3 2 < / C h a r t I D >  
             < S e q u e n c e > 0 < / S e q u e n c e >  
         < / A c c o u n t I n f o >  
         < A c c o u n t I n f o >  
             < I D > 2 6 4 2 0 1 9 4 7 9 8 0 0 0 0 0 4 4 7 < / I D >  
             < N a m e > P r o f i t   r e c e i v a b l e   o n   b a n k   d e p o s i t s < / N a m e >  
             < N u m b e r > 5 1 6 0 . 2 < / N u m b e r >  
             < I s L i n k e d > f a l s e < / I s L i n k e d >  
             < C h a r t I D > 2 6 4 2 0 1 9 4 7 9 8 0 0 0 0 0 2 3 2 < / C h a r t I D >  
             < S e q u e n c e > 0 < / S e q u e n c e >  
         < / A c c o u n t I n f o >  
         < A c c o u n t I n f o >  
             < I D > 2 6 4 2 0 1 9 4 7 9 8 0 0 0 0 0 4 4 6 < / I D >  
             < N a m e > P r o f i t   r e c e i v a b l e   o n   d e b t   s e c u r i t i e s < / N a m e >  
             < N u m b e r > 5 1 6 0 . 3 < / N u m b e r >  
             < I s L i n k e d > f a l s e < / I s L i n k e d >  
             < C h a r t I D > 2 6 4 2 0 1 9 4 7 9 8 0 0 0 0 0 2 3 2 < / C h a r t I D >  
             < S e q u e n c e > 0 < / S e q u e n c e >  
         < / A c c o u n t I n f o >  
         < A c c o u n t I n f o >  
             < I D > 2 6 4 2 0 1 9 4 7 9 8 0 0 0 0 0 4 4 3 < / I D >  
             < N a m e > P r o f i t   r e c e i v a b l e   o n   g o v e r n m e n t   s e c u r i t i e s < / N a m e >  
             < N u m b e r > 5 1 6 0 . 4 < / N u m b e r >  
             < I s L i n k e d > f a l s e < / I s L i n k e d >  
             < C h a r t I D > 2 6 4 2 0 1 9 4 7 9 8 0 0 0 0 0 2 3 2 < / C h a r t I D >  
             < S e q u e n c e > 0 < / S e q u e n c e >  
         < / A c c o u n t I n f o >  
         < A c c o u n t I n f o >  
             < I D > 2 6 4 2 0 1 9 4 7 9 8 0 0 0 0 0 4 4 2 < / I D >  
             < N a m e > P r o f i t   r e c e i v a b l e   o n   t e r m   d e p o s i t   r e c e i p t s < / N a m e >  
             < N u m b e r > 5 1 6 0 . 5 < / N u m b e r >  
             < I s L i n k e d > f a l s e < / I s L i n k e d >  
             < C h a r t I D > 2 6 4 2 0 1 9 4 7 9 8 0 0 0 0 0 2 3 2 < / C h a r t I D >  
             < S e q u e n c e > 0 < / S e q u e n c e >  
         < / A c c o u n t I n f o >  
         < A c c o u n t I n f o >  
             < I D > 2 6 4 2 0 1 9 4 7 9 8 0 0 0 0 0 4 2 4 < / I D >  
             < N a m e > P r o f i t   r e c e i v a b l e   a g a i n s t   M T S < / N a m e >  
             < N u m b e r > 5 1 6 0 . 6 < / N u m b e r >  
             < I s L i n k e d > f a l s e < / I s L i n k e d >  
             < C h a r t I D > 2 6 4 2 0 1 9 4 7 9 8 0 0 0 0 0 2 3 2 < / C h a r t I D >  
             < S e q u e n c e > 0 < / S e q u e n c e >  
         < / A c c o u n t I n f o >  
         < A c c o u n t I n f o >  
             < I D > 2 6 4 2 0 1 9 4 7 9 8 0 0 0 0 0 3 8 1 < / I D >  
             < N a m e > D e p o s i t s ,   p r e p a y m e n t s   a n d   o t h e r   r e c e i v a b l e s < / N a m e >  
             < N u m b e r > 5 1 7 0 . 1 < / N u m b e r >  
             < I s L i n k e d > f a l s e < / I s L i n k e d >  
             < C h a r t I D > 2 6 4 2 0 1 9 4 7 9 8 0 0 0 0 0 2 3 2 < / C h a r t I D >  
             < S e q u e n c e > 0 < / S e q u e n c e >  
         < / A c c o u n t I n f o >  
         < A c c o u n t I n f o >  
             < I D > 2 6 4 2 0 1 9 4 7 9 8 0 0 0 0 0 3 8 4 < / I D >  
             < N a m e > A d v a n c e   T a x < / N a m e >  
             < N u m b e r > 5 1 7 0 . 2 < / N u m b e r >  
             < I s L i n k e d > f a l s e < / I s L i n k e d >  
             < C h a r t I D > 2 6 4 2 0 1 9 4 7 9 8 0 0 0 0 0 2 3 2 < / C h a r t I D >  
             < S e q u e n c e > 0 < / S e q u e n c e >  
         < / A c c o u n t I n f o >  
         < A c c o u n t I n f o >  
             < I D > 2 6 4 2 0 1 9 4 7 9 8 0 0 0 0 0 3 7 5 < / I D >  
             < N a m e > D e p o s i t s   w i t h   N C C P L < / N a m e >  
             < N u m b e r > 5 1 7 0 . 3 < / N u m b e r >  
             < I s L i n k e d > f a l s e < / I s L i n k e d >  
             < C h a r t I D > 2 6 4 2 0 1 9 4 7 9 8 0 0 0 0 0 2 3 2 < / C h a r t I D >  
             < S e q u e n c e > 0 < / S e q u e n c e >  
         < / A c c o u n t I n f o >  
         < A c c o u n t I n f o >  
             < I D > 2 6 4 2 0 1 9 4 7 9 8 0 0 0 0 0 3 8 6 < / I D >  
             < N a m e > D e p o s i t s   w i t h   C D C < / N a m e >  
             < N u m b e r > 5 1 7 0 . 4 < / N u m b e r >  
             < I s L i n k e d > f a l s e < / I s L i n k e d >  
             < C h a r t I D > 2 6 4 2 0 1 9 4 7 9 8 0 0 0 0 0 2 3 2 < / C h a r t I D >  
             < S e q u e n c e > 0 < / S e q u e n c e >  
         < / A c c o u n t I n f o >  
         < A c c o u n t I n f o >  
             < I D > 2 6 4 2 0 1 9 4 7 9 8 0 0 0 0 0 3 1 8 < / I D >  
             < N a m e > M a r g i n   a g a i n s t   T F C < / N a m e >  
             < N u m b e r > 5 1 7 0 . 5 < / N u m b e r >  
             < I s L i n k e d > f a l s e < / I s L i n k e d >  
             < C h a r t I D > 2 6 4 2 0 1 9 4 7 9 8 0 0 0 0 0 2 3 2 < / C h a r t I D >  
             < S e q u e n c e > 0 < / S e q u e n c e >  
         < / A c c o u n t I n f o >  
         < A c c o u n t I n f o >  
             < I D > 2 6 4 2 0 1 9 4 7 9 8 0 0 0 0 0 4 3 1 < / I D >  
             < N a m e > P R E P A Y M E N T   O F   N C C P L   A G A I N S T   M A R G I N   T R A D I N G   S Y S T E M < / N a m e >  
             < N u m b e r > 5 1 7 0 . 5 A < / N u m b e r >  
             < I s L i n k e d > f a l s e < / I s L i n k e d >  
             < C h a r t I D > 2 6 4 2 0 1 9 4 7 9 8 0 0 0 0 0 2 3 2 < / C h a r t I D >  
             < S e q u e n c e > 0 < / S e q u e n c e >  
         < / A c c o u n t I n f o >  
         < A c c o u n t I n f o >  
             < I D > 2 6 4 2 0 1 9 4 7 9 8 0 0 0 0 0 2 9 0 < / I D >  
             < N a m e > P r e p a y m e n t s < / N a m e >  
             < N u m b e r > 5 1 7 0 . 6 < / N u m b e r >  
             < I s L i n k e d > f a l s e < / I s L i n k e d >  
             < C h a r t I D > 2 6 4 2 0 1 9 4 7 9 8 0 0 0 0 0 2 3 2 < / C h a r t I D >  
             < S e q u e n c e > 0 < / S e q u e n c e >  
         < / A c c o u n t I n f o >  
         < A c c o u n t I n f o >  
             < I D > 2 6 4 2 0 1 9 4 7 9 8 0 0 0 0 0 4 5 0 < / I D >  
             < N a m e > R e c e i v a b l e   f r o m   N a t i o n a l   C l e a r i n g   C o m p n a y   o f   P a k i s t a n < / N a m e >  
             < N u m b e r > 5 1 7 0 . 7 < / N u m b e r >  
             < I s L i n k e d > f a l s e < / I s L i n k e d >  
             < C h a r t I D > 2 6 4 2 0 1 9 4 7 9 8 0 0 0 0 0 2 3 2 < / C h a r t I D >  
             < S e q u e n c e > 0 < / S e q u e n c e >  
         < / A c c o u n t I n f o >  
         < A c c o u n t I n f o >  
             < I D > 2 6 4 2 0 1 9 4 7 9 8 0 0 0 0 0 3 2 1 < / I D >  
             < N a m e > P r e l i m i n a r y   e x p e n s e s   a n d   f l o a t a t i o n   c o s t s ,   a n d   O t h e r   A d v a n c e s < / N a m e >  
             < N u m b e r > 5 1 8 0 - 1 < / N u m b e r >  
             < I s L i n k e d > f a l s e < / I s L i n k e d >  
             < C h a r t I D > 2 6 4 2 0 1 9 4 7 9 8 0 0 0 0 0 2 3 2 < / C h a r t I D >  
             < S e q u e n c e > 0 < / S e q u e n c e >  
         < / A c c o u n t I n f o >  
         < A c c o u n t I n f o >  
             < I D > 2 6 4 2 0 1 9 4 7 9 8 0 0 0 0 0 2 7 4 < / I D >  
             < N a m e > P a y a b l e   t o   M a n a g e m e n t   C o m p a n y < / N a m e >  
             < N u m b e r > 6 1 1 0 . 1 < / N u m b e r >  
             < I s L i n k e d > f a l s e < / I s L i n k e d >  
             < C h a r t I D > 2 6 4 2 0 1 9 4 7 9 8 0 0 0 0 0 2 3 2 < / C h a r t I D >  
             < S e q u e n c e > 0 < / S e q u e n c e >  
         < / A c c o u n t I n f o >  
         < A c c o u n t I n f o >  
             < I D > 2 6 4 2 0 1 9 4 7 9 8 0 0 0 0 0 2 8 6 < / I D >  
             < N a m e > P a y a b l e   t o   C e n t r a l   D e p o s i t o r y   C o m p a n y   o f   P a k i s t a n   L i m i t e d   -   T r u s t e e < / N a m e >  
             < N u m b e r > 6 1 2 0 . 1 < / N u m b e r >  
             < I s L i n k e d > f a l s e < / I s L i n k e d >  
             < C h a r t I D > 2 6 4 2 0 1 9 4 7 9 8 0 0 0 0 0 2 3 2 < / C h a r t I D >  
             < S e q u e n c e > 0 < / S e q u e n c e >  
         < / A c c o u n t I n f o >  
         < A c c o u n t I n f o >  
             < I D > 2 6 4 2 0 1 9 4 7 9 8 0 0 0 0 0 2 7 9 < / I D >  
             < N a m e > P a y a b l e   t o   S e c u r i t i e s   a n d   E x c h a n g e   C o m m i s s i o n < / N a m e >  
             < N u m b e r > 6 1 3 0 . 1 < / N u m b e r >  
             < I s L i n k e d > f a l s e < / I s L i n k e d >  
             < C h a r t I D > 2 6 4 2 0 1 9 4 7 9 8 0 0 0 0 0 2 3 2 < / C h a r t I D >  
             < S e q u e n c e > 0 < / S e q u e n c e >  
         < / A c c o u n t I n f o >  
         < A c c o u n t I n f o >  
             < I D > 2 6 4 2 0 1 9 4 7 9 8 0 0 0 0 0 2 8 0 < / I D >  
             < N a m e > P a y a b l e   a g a i n s t   r e d e m p t i o n   o f   u n i t s < / N a m e >  
             < N u m b e r > 6 1 4 0 . 1 < / N u m b e r >  
             < I s L i n k e d > f a l s e < / I s L i n k e d >  
             < C h a r t I D > 2 6 4 2 0 1 9 4 7 9 8 0 0 0 0 0 2 3 2 < / C h a r t I D >  
             < S e q u e n c e > 0 < / S e q u e n c e >  
         < / A c c o u n t I n f o >  
         < A c c o u n t I n f o >  
             < I D > 2 6 4 2 0 1 9 4 7 9 8 0 0 0 0 0 4 2 3 < / I D >  
             < N a m e > P A Y A B L E   A G A I N S T   P U R C H A S E   O F   E Q U I T Y   S E C U R I T I E S < / N a m e >  
             < N u m b e r > 6 1 4 0 . 1 A < / N u m b e r >  
             < I s L i n k e d > f a l s e < / I s L i n k e d >  
             < C h a r t I D > 2 6 4 2 0 1 9 4 7 9 8 0 0 0 0 0 2 3 2 < / C h a r t I D >  
             < S e q u e n c e > 0 < / S e q u e n c e >  
         < / A c c o u n t I n f o >  
         < A c c o u n t I n f o >  
             < I D > 2 6 4 2 0 1 9 4 7 9 8 0 0 0 0 0 3 2 5 < / I D >  
             < N a m e > U n c l a i m e d   d i v i d e n d < / N a m e >  
             < N u m b e r > 6 1 5 0 . 1 < / N u m b e r >  
             < I s L i n k e d > f a l s e < / I s L i n k e d >  
             < C h a r t I D > 2 6 4 2 0 1 9 4 7 9 8 0 0 0 0 0 2 3 2 < / C h a r t I D >  
             < S e q u e n c e > 0 < / S e q u e n c e >  
         < / A c c o u n t I n f o >  
         < A c c o u n t I n f o >  
             < I D > 2 6 4 2 0 1 9 4 7 9 8 0 0 0 0 0 2 5 6 < / I D >  
             < N a m e > A c c r u e d   e x p e n s e s   a n d   o t h e r   l i a b i l i t i e s < / N a m e >  
             < N u m b e r > 6 1 6 0 . 1 < / N u m b e r >  
             < I s L i n k e d > f a l s e < / I s L i n k e d >  
             < C h a r t I D > 2 6 4 2 0 1 9 4 7 9 8 0 0 0 0 0 2 3 2 < / C h a r t I D >  
             < S e q u e n c e > 0 < / S e q u e n c e >  
         < / A c c o u n t I n f o >  
         < A c c o u n t I n f o >  
             < I D > 2 6 4 2 0 1 9 4 7 9 8 0 0 0 0 0 4 2 7 < / I D >  
             < N a m e > P a y a b l e   A g a i n s t   E x p o s u r e   I n   M a g i n   T r a d i n g   S y s t e m < / N a m e >  
             < N u m b e r > 6 1 6 0 . 1 A < / N u m b e r >  
             < I s L i n k e d > f a l s e < / I s L i n k e d >  
             < C h a r t I D > 2 6 4 2 0 1 9 4 7 9 8 0 0 0 0 0 2 3 2 < / C h a r t I D >  
             < S e q u e n c e > 0 < / S e q u e n c e >  
         < / A c c o u n t I n f o >  
         < A c c o u n t I n f o >  
             < I D > 2 6 4 2 0 1 9 4 7 9 8 0 0 0 0 0 3 2 6 < / I D >  
             < N a m e > P r o v i s i o n   A g a i n s t   I m p a i r m e n t   L o s s < / N a m e >  
             < N u m b e r > 6 1 7 0 . 1 < / N u m b e r >  
             < I s L i n k e d > f a l s e < / I s L i n k e d >  
             < C h a r t I D > 2 6 4 2 0 1 9 4 7 9 8 0 0 0 0 0 2 3 2 < / C h a r t I D >  
             < S e q u e n c e > 0 < / S e q u e n c e >  
         < / A c c o u n t I n f o >  
         < A c c o u n t I n f o >  
             < I D > 2 6 4 2 0 1 9 4 7 9 8 0 0 0 0 0 3 3 1 < / I D >  
             < N a m e > T a x   P a y a b l e < / N a m e >  
             < N u m b e r > 6 1 8 0 < / N u m b e r >  
             < I s L i n k e d > f a l s e < / I s L i n k e d >  
             < C h a r t I D > 2 6 4 2 0 1 9 4 7 9 8 0 0 0 0 0 2 3 2 < / C h a r t I D >  
             < S e q u e n c e > 0 < / S e q u e n c e >  
         < / A c c o u n t I n f o >  
         < A c c o u n t I n f o >  
             < I D > 2 6 4 2 0 1 9 4 7 9 8 0 0 0 0 0 3 3 2 < / I D >  
             < N a m e > I s s u e d ,   s u b s c r i b e d   a n d   p a i d - u p   c a p i t a l < / N a m e >  
             < N u m b e r > 7 1 1 0 . 1 < / N u m b e r >  
             < I s L i n k e d > f a l s e < / I s L i n k e d >  
             < C h a r t I D > 2 6 4 2 0 1 9 4 7 9 8 0 0 0 0 0 2 3 2 < / C h a r t I D >  
             < S e q u e n c e > 0 < / S e q u e n c e >  
         < / A c c o u n t I n f o >  
         < A c c o u n t I n f o >  
             < I D > 2 6 4 2 0 1 9 4 7 9 8 0 0 0 0 0 4 0 6 < / I D >  
             < N a m e > U n r e a l i z e d   a p p r e c i a t i o n   i n   v a l u e   o f   i n v e s t m e n t s - A F S < / N a m e >  
             < N u m b e r > 7 2 1 0 . 1 < / N u m b e r >  
             < I s L i n k e d > f a l s e < / I s L i n k e d >  
             < C h a r t I D > 2 6 4 2 0 1 9 4 7 9 8 0 0 0 0 0 2 3 2 < / C h a r t I D >  
             < S e q u e n c e > 0 < / S e q u e n c e >  
         < / A c c o u n t I n f o >  
         < A c c o u n t I n f o >  
             < I D > 2 6 4 2 0 1 9 4 7 9 8 0 0 0 0 0 3 3 7 < / I D >  
             < N a m e > A c c u m u l a t e d   l o s s < / N a m e >  
             < N u m b e r > 7 2 2 0 . 2 < / N u m b e r >  
             < I s L i n k e d > f a l s e < / I s L i n k e d >  
             < C h a r t I D > 2 6 4 2 0 1 9 4 7 9 8 0 0 0 0 0 2 3 2 < / C h a r t I D >  
             < S e q u e n c e > 0 < / S e q u e n c e >  
         < / A c c o u n t I n f o >  
         < A c c o u n t I n f o >  
             < I D > 2 6 4 2 0 1 9 4 7 9 8 0 0 0 0 0 2 3 6 < / I D >  
             < N a m e > U n i t   h o l d e r s   F u n d < / N a m e >  
             < N u m b e r > 7 2 3 0 < / N u m b e r >  
             < I s L i n k e d > f a l s e < / I s L i n k e d >  
             < C h a r t I D > 2 6 4 2 0 1 9 4 7 9 8 0 0 0 0 0 2 3 2 < / C h a r t I D >  
             < S e q u e n c e > 0 < / S e q u e n c e >  
         < / A c c o u n t I n f o >  
         < A c c o u n t I n f o >  
             < I D > 2 6 4 2 0 1 9 4 7 9 8 0 0 0 0 0 4 1 2 < / I D >  
             < N a m e > R e a l i z e d   E l e m e n t   o f   i n c o m e < / N a m e >  
             < N u m b e r > 7 2 3 0 . 1 < / N u m b e r >  
             < I s L i n k e d > f a l s e < / I s L i n k e d >  
             < C h a r t I D > 2 6 4 2 0 1 9 4 7 9 8 0 0 0 0 0 2 3 2 < / C h a r t I D >  
             < S e q u e n c e > 0 < / S e q u e n c e >  
         < / A c c o u n t I n f o >  
         < A c c o u n t I n f o >  
             < I D > 2 6 4 2 0 1 9 4 7 9 8 0 0 0 0 0 3 3 9 < / I D >  
             < N a m e > U n r e a l i z e d   E l e m e n t   o f   i n c o m e < / N a m e >  
             < N u m b e r > 7 2 3 0 . 2 < / N u m b e r >  
             < I s L i n k e d > f a l s e < / I s L i n k e d >  
             < C h a r t I D > 2 6 4 2 0 1 9 4 7 9 8 0 0 0 0 0 2 3 2 < / C h a r t I D >  
             < S e q u e n c e > 0 < / S e q u e n c e >  
         < / A c c o u n t I n f o >  
         < A c c o u n t I n f o >  
             < I D > 2 6 4 2 0 1 9 4 7 9 8 0 0 0 0 0 2 6 6 < / I D >  
             < N a m e > C a p i t a l   g a i n   /   ( l o s s )   o n   s a l e   o f   i n v e s t m e n t s   -   n e t < / N a m e >  
             < N u m b e r > 8 1 1 0 . 1 < / N u m b e r >  
             < I s L i n k e d > f a l s e < / I s L i n k e d >  
             < C h a r t I D > 2 6 4 2 0 1 9 4 7 9 8 0 0 0 0 0 2 3 2 < / C h a r t I D >  
             < S e q u e n c e > 0 < / S e q u e n c e >  
         < / A c c o u n t I n f o >  
         < A c c o u n t I n f o >  
             < I D > 2 6 4 2 0 1 9 4 7 9 8 0 0 0 0 0 3 4 3 < / I D >  
             < N a m e > I n c o m e   f r o m   C F S   T r a n s a c t i o n s < / N a m e >  
             < N u m b e r > 8 1 1 0 . 1 A < / N u m b e r >  
             < I s L i n k e d > f a l s e < / I s L i n k e d >  
             < C h a r t I D > 2 6 4 2 0 1 9 4 7 9 8 0 0 0 0 0 2 3 2 < / C h a r t I D >  
             < S e q u e n c e > 0 < / S e q u e n c e >  
         < / A c c o u n t I n f o >  
         < A c c o u n t I n f o >  
             < I D > 2 6 4 2 0 1 9 4 7 9 8 0 0 0 0 0 4 3 2 < / I D >  
             < N a m e > I n c o m e   f r o m   i n v e s t m e n t   i n   D e r i v a t i v e < / N a m e >  
             < N u m b e r > 8 1 1 0 . 1 B < / N u m b e r >  
             < I s L i n k e d > f a l s e < / I s L i n k e d >  
             < C h a r t I D > 2 6 4 2 0 1 9 4 7 9 8 0 0 0 0 0 2 3 2 < / C h a r t I D >  
             < S e q u e n c e > 0 < / S e q u e n c e >  
         < / A c c o u n t I n f o >  
         < A c c o u n t I n f o >  
             < I D > 2 6 4 2 0 1 9 4 7 9 8 0 0 0 0 0 2 6 0 < / I D >  
             < N a m e > I n c o m e   f r o m   T e r m   F i n a n c e   C e r t i f i c a t e s < / N a m e >  
             < N u m b e r > 8 1 1 0 . 2 A < / N u m b e r >  
             < I s L i n k e d > f a l s e < / I s L i n k e d >  
             < C h a r t I D > 2 6 4 2 0 1 9 4 7 9 8 0 0 0 0 0 2 3 2 < / C h a r t I D >  
             < S e q u e n c e > 0 < / S e q u e n c e >  
         < / A c c o u n t I n f o >  
         < A c c o u n t I n f o >  
             < I D > 2 6 4 2 0 1 9 4 7 9 8 0 0 0 0 0 2 4 5 < / I D >  
             < N a m e > I n c o m e   f r o m   G o v e r n m e n t   S e c u r i t i e s < / N a m e >  
             < N u m b e r > 8 1 1 0 . 3 A < / N u m b e r >  
             < I s L i n k e d > f a l s e < / I s L i n k e d >  
             < C h a r t I D > 2 6 4 2 0 1 9 4 7 9 8 0 0 0 0 0 2 3 2 < / C h a r t I D >  
             < S e q u e n c e > 0 < / S e q u e n c e >  
         < / A c c o u n t I n f o >  
         < A c c o u n t I n f o >  
             < I D > 2 6 4 2 0 1 9 4 7 9 8 0 0 0 0 0 3 4 4 < / I D >  
             < N a m e > I n c o m e   f r o m   p l a c e m e n t s   w i t h   f i n a n c i a l   i n s t i t u t i o n s < / N a m e >  
             < N u m b e r > 8 1 1 0 . 4 A < / N u m b e r >  
             < I s L i n k e d > f a l s e < / I s L i n k e d >  
             < C h a r t I D > 2 6 4 2 0 1 9 4 7 9 8 0 0 0 0 0 2 3 2 < / C h a r t I D >  
             < S e q u e n c e > 0 < / S e q u e n c e >  
         < / A c c o u n t I n f o >  
         < A c c o u n t I n f o >  
             < I D > 2 6 4 2 0 1 9 4 7 9 8 0 0 0 0 0 5 9 0 < / I D >  
             < N a m e > I n c o m e   o n   C P < / N a m e >  
             < N u m b e r > 8 1 1 0 . 4 B < / N u m b e r >  
             < I s L i n k e d > f a l s e < / I s L i n k e d >  
             < C h a r t I D > 2 6 4 2 0 1 9 4 7 9 8 0 0 0 0 0 2 3 2 < / C h a r t I D >  
             < S e q u e n c e > 0 < / S e q u e n c e >  
         < / A c c o u n t I n f o >  
         < A c c o u n t I n f o >  
             < I D > 2 6 4 2 0 1 9 4 7 9 8 0 0 0 0 0 2 6 9 < / I D >  
             < N a m e > I n c o m e   f r o m   T D R < / N a m e >  
             < N u m b e r > 8 1 1 0 . 5 A < / N u m b e r >  
             < I s L i n k e d > f a l s e < / I s L i n k e d >  
             < C h a r t I D > 2 6 4 2 0 1 9 4 7 9 8 0 0 0 0 0 2 3 2 < / C h a r t I D >  
             < S e q u e n c e > 0 < / S e q u e n c e >  
         < / A c c o u n t I n f o >  
         < A c c o u n t I n f o >  
             < I D > 2 6 4 2 0 1 9 4 7 9 8 0 0 0 0 0 2 9 3 < / I D >  
             < N a m e > I n c o m e   o n   N C C P L   m a r g i n < / N a m e >  
             < N u m b e r > 8 1 1 0 . 6 A < / N u m b e r >  
             < I s L i n k e d > f a l s e < / I s L i n k e d >  
             < C h a r t I D > 2 6 4 2 0 1 9 4 7 9 8 0 0 0 0 0 2 3 2 < / C h a r t I D >  
             < S e q u e n c e > 0 < / S e q u e n c e >  
         < / A c c o u n t I n f o >  
         < A c c o u n t I n f o >  
             < I D > 2 6 4 2 0 1 9 4 7 9 8 0 0 0 0 0 2 9 7 < / I D >  
             < N a m e > M a r k u p   I n c o m e   o n   M T S < / N a m e >  
             < N u m b e r > 8 1 1 0 . 6 B < / N u m b e r >  
             < I s L i n k e d > f a l s e < / I s L i n k e d >  
             < C h a r t I D > 2 6 4 2 0 1 9 4 7 9 8 0 0 0 0 0 2 3 2 < / C h a r t I D >  
             < S e q u e n c e > 0 < / S e q u e n c e >  
         < / A c c o u n t I n f o >  
         < A c c o u n t I n f o >  
             < I D > 2 6 4 2 0 1 9 4 7 9 8 0 0 0 0 0 2 6 3 < / I D >  
             < N a m e > P r o f i t   o n   b a n k   d e p o s i t s < / N a m e >  
             < N u m b e r > 8 1 1 0 . 7 A < / N u m b e r >  
             < I s L i n k e d > f a l s e < / I s L i n k e d >  
             < C h a r t I D > 2 6 4 2 0 1 9 4 7 9 8 0 0 0 0 0 2 3 2 < / C h a r t I D >  
             < S e q u e n c e > 0 < / S e q u e n c e >  
         < / A c c o u n t I n f o >  
         < A c c o u n t I n f o >  
             < I D > 2 6 4 2 0 1 9 4 7 9 8 0 0 0 0 0 2 8 5 < / I D >  
             < N a m e > U n r e a l i z e d   a p p r e c i a t i o n   /   ( d i m i n u i t i o n )   i n   v a l u e   o f   i n v e s t m e n t s   a t   f a i r   v a l u e   t h r o u g h   p r o f i t   o r   l o s s < / N a m e >  
             < N u m b e r > 8 1 1 0 . 8 A < / N u m b e r >  
             < I s L i n k e d > f a l s e < / I s L i n k e d >  
             < C h a r t I D > 2 6 4 2 0 1 9 4 7 9 8 0 0 0 0 0 2 3 2 < / C h a r t I D >  
             < S e q u e n c e > 0 < / S e q u e n c e >  
         < / A c c o u n t I n f o >  
         < A c c o u n t I n f o >  
             < I D > 2 6 4 2 0 1 9 4 7 9 8 0 0 0 0 0 4 2 0 < / I D >  
             < N a m e > D i v i d e n d   I n c o m e < / N a m e >  
             < N u m b e r > 8 1 1 0 . 9 A < / N u m b e r >  
             < I s L i n k e d > f a l s e < / I s L i n k e d >  
             < C h a r t I D > 2 6 4 2 0 1 9 4 7 9 8 0 0 0 0 0 2 3 2 < / C h a r t I D >  
             < S e q u e n c e > 0 < / S e q u e n c e >  
         < / A c c o u n t I n f o >  
         < A c c o u n t I n f o >  
             < I D > 2 6 4 2 0 1 9 4 7 9 8 0 0 0 0 0 2 7 2 < / I D >  
             < N a m e > I m p a i r m e n t   l o s s < / N a m e >  
             < N u m b e r > 8 1 1 1 < / N u m b e r >  
             < I s L i n k e d > f a l s e < / I s L i n k e d >  
             < C h a r t I D > 2 6 4 2 0 1 9 4 7 9 8 0 0 0 0 0 2 3 2 < / C h a r t I D >  
             < S e q u e n c e > 0 < / S e q u e n c e >  
         < / A c c o u n t I n f o >  
         < A c c o u n t I n f o >  
             < I D > 2 6 4 2 0 1 9 4 7 9 8 0 0 0 0 0 4 0 8 < / I D >  
             < N a m e > R e m u n e r a t i o n   o f   m a n a g e m e n t   c o m p a n y < / N a m e >  
             < N u m b e r > 8 1 2 0 . 1 < / N u m b e r >  
             < I s L i n k e d > f a l s e < / I s L i n k e d >  
             < C h a r t I D > 2 6 4 2 0 1 9 4 7 9 8 0 0 0 0 0 2 3 2 < / C h a r t I D >  
             < S e q u e n c e > 0 < / S e q u e n c e >  
         < / A c c o u n t I n f o >  
         < A c c o u n t I n f o >  
             < I D > 2 6 4 2 0 1 9 4 7 9 8 0 0 0 0 0 4 0 5 < / I D >  
             < N a m e > R e m u n e r a t i o n   o f   C D C   -   T r u s t e e < / N a m e >  
             < N u m b e r > 8 1 2 0 . 1 A < / N u m b e r >  
             < I s L i n k e d > f a l s e < / I s L i n k e d >  
             < C h a r t I D > 2 6 4 2 0 1 9 4 7 9 8 0 0 0 0 0 2 3 2 < / C h a r t I D >  
             < S e q u e n c e > 0 < / S e q u e n c e >  
         < / A c c o u n t I n f o >  
         < A c c o u n t I n f o >  
             < I D > 2 6 4 2 0 1 9 4 7 9 8 0 0 0 0 0 4 0 1 < / I D >  
             < N a m e > A n n u a l   f e e   -   S E C P < / N a m e >  
             < N u m b e r > 8 1 2 0 . 2 A < / N u m b e r >  
             < I s L i n k e d > f a l s e < / I s L i n k e d >  
             < C h a r t I D > 2 6 4 2 0 1 9 4 7 9 8 0 0 0 0 0 2 3 2 < / C h a r t I D >  
             < S e q u e n c e > 0 < / S e q u e n c e >  
         < / A c c o u n t I n f o >  
         < A c c o u n t I n f o >  
             < I D > 2 6 4 2 0 1 9 4 7 9 8 0 0 0 0 0 3 9 8 < / I D >  
             < N a m e > S e c u r i t i e s   t r a n s a c t i n   c o s t < / N a m e >  
             < N u m b e r > 8 1 3 0 . 1 < / N u m b e r >  
             < I s L i n k e d > f a l s e < / I s L i n k e d >  
             < C h a r t I D > 2 6 4 2 0 1 9 4 7 9 8 0 0 0 0 0 2 3 2 < / C h a r t I D >  
             < S e q u e n c e > 0 < / S e q u e n c e >  
         < / A c c o u n t I n f o >  
         < A c c o u n t I n f o >  
             < I D > 2 6 4 2 0 1 9 4 7 9 8 0 0 0 0 0 3 4 9 < / I D >  
             < N a m e > C o n v e r s i o n   c o s t < / N a m e >  
             < N u m b e r > 8 1 3 0 . 2 < / N u m b e r >  
             < I s L i n k e d > f a l s e < / I s L i n k e d >  
             < C h a r t I D > 2 6 4 2 0 1 9 4 7 9 8 0 0 0 0 0 2 3 2 < / C h a r t I D >  
             < S e q u e n c e > 0 < / S e q u e n c e >  
         < / A c c o u n t I n f o >  
         < A c c o u n t I n f o >  
             < I D > 2 6 4 2 0 1 9 4 7 9 8 0 0 0 0 0 3 5 0 < / I D >  
             < N a m e > F i n a n c i a l   C h a r g e s < / N a m e >  
             < N u m b e r > 8 1 3 0 . 3 < / N u m b e r >  
             < I s L i n k e d > f a l s e < / I s L i n k e d >  
             < C h a r t I D > 2 6 4 2 0 1 9 4 7 9 8 0 0 0 0 0 2 3 2 < / C h a r t I D >  
             < S e q u e n c e > 0 < / S e q u e n c e >  
         < / A c c o u n t I n f o >  
         < A c c o u n t I n f o >  
             < I D > 2 6 4 2 0 1 9 4 7 9 8 0 0 0 0 0 3 9 3 < / I D >  
             < N a m e > B a n k   C h a r g e s < / N a m e >  
             < N u m b e r > 8 1 3 0 . 4 < / N u m b e r >  
             < I s L i n k e d > f a l s e < / I s L i n k e d >  
             < C h a r t I D > 2 6 4 2 0 1 9 4 7 9 8 0 0 0 0 0 2 3 2 < / C h a r t I D >  
             < S e q u e n c e > 0 < / S e q u e n c e >  
         < / A c c o u n t I n f o >  
         < A c c o u n t I n f o >  
             < I D > 2 6 4 2 0 1 9 4 7 9 8 0 0 0 0 0 3 5 4 < / I D >  
             < N a m e > R r e v e r s a l   o f   P r o v i s i o n   A g a i n s t   D e b t   s e c u r i t i e s < / N a m e >  
             < N u m b e r > 8 1 3 3 < / N u m b e r >  
             < I s L i n k e d > f a l s e < / I s L i n k e d >  
             < C h a r t I D > 2 6 4 2 0 1 9 4 7 9 8 0 0 0 0 0 2 3 2 < / C h a r t I D >  
             < S e q u e n c e > 0 < / S e q u e n c e >  
         < / A c c o u n t I n f o >  
         < A c c o u n t I n f o >  
             < I D > 2 6 4 2 0 1 9 4 7 9 8 0 0 0 0 0 3 9 1 < / I D >  
             < N a m e > F e e s   a n d   s u b s c r i p t i o n < / N a m e >  
             < N u m b e r > 8 1 4 0 . 1 < / N u m b e r >  
             < I s L i n k e d > f a l s e < / I s L i n k e d >  
             < C h a r t I D > 2 6 4 2 0 1 9 4 7 9 8 0 0 0 0 0 2 3 2 < / C h a r t I D >  
             < S e q u e n c e > 0 < / S e q u e n c e >  
         < / A c c o u n t I n f o >  
         < A c c o u n t I n f o >  
             < I D > 2 6 4 2 0 1 9 4 7 9 8 0 0 0 0 0 3 5 6 < / I D >  
             < N a m e > P o f e s s i o n a l   c h a r g e s   o n   M T S < / N a m e >  
             < N u m b e r > 8 1 4 0 . 2 < / N u m b e r >  
             < I s L i n k e d > f a l s e < / I s L i n k e d >  
             < C h a r t I D > 2 6 4 2 0 1 9 4 7 9 8 0 0 0 0 0 2 3 2 < / C h a r t I D >  
             < S e q u e n c e > 0 < / S e q u e n c e >  
         < / A c c o u n t I n f o >  
         < A c c o u n t I n f o >  
             < I D > 2 6 4 2 0 1 9 4 7 9 8 0 0 0 0 0 3 6 0 < / I D >  
             < N a m e > S e t t l e m e n t   C h a r g e s < / N a m e >  
             < N u m b e r > 8 1 5 0 . 1 < / N u m b e r >  
             < I s L i n k e d > f a l s e < / I s L i n k e d >  
             < C h a r t I D > 2 6 4 2 0 1 9 4 7 9 8 0 0 0 0 0 2 3 2 < / C h a r t I D >  
             < S e q u e n c e > 0 < / S e q u e n c e >  
         < / A c c o u n t I n f o >  
         < A c c o u n t I n f o >  
             < I D > 2 6 4 2 0 1 9 4 7 9 8 0 0 0 0 0 3 7 9 < / I D >  
             < N a m e > P r i n t i n g   a n d   r e l a t e d   c o s t < / N a m e >  
             < N u m b e r > 8 1 5 0 . 1 A < / N u m b e r >  
             < I s L i n k e d > f a l s e < / I s L i n k e d >  
             < C h a r t I D > 2 6 4 2 0 1 9 4 7 9 8 0 0 0 0 0 2 3 2 < / C h a r t I D >  
             < S e q u e n c e > 0 < / S e q u e n c e >  
         < / A c c o u n t I n f o >  
         < A c c o u n t I n f o >  
             < I D > 2 6 4 2 0 1 9 4 7 9 8 0 0 0 0 0 3 9 7 < / I D >  
             < N a m e > A u d i t o r ' s   r e m u n e r a t i o n < / N a m e >  
             < N u m b e r > 8 1 5 0 . 2 A < / N u m b e r >  
             < I s L i n k e d > f a l s e < / I s L i n k e d >  
             < C h a r t I D > 2 6 4 2 0 1 9 4 7 9 8 0 0 0 0 0 2 3 2 < / C h a r t I D >  
             < S e q u e n c e > 0 < / S e q u e n c e >  
         < / A c c o u n t I n f o >  
         < A c c o u n t I n f o >  
             < I D > 2 6 4 2 0 1 9 4 7 9 8 0 0 0 0 0 3 6 3 < / I D >  
             < N a m e > A m o r t i z a t i o n   o f   p r e l i m i n a r y   e x p e n s e s   a n d   f l o t a t i o n   c o s t s < / N a m e >  
             < N u m b e r > 8 1 5 0 . 3 A < / N u m b e r >  
             < I s L i n k e d > f a l s e < / I s L i n k e d >  
             < C h a r t I D > 2 6 4 2 0 1 9 4 7 9 8 0 0 0 0 0 2 3 2 < / C h a r t I D >  
             < S e q u e n c e > 0 < / S e q u e n c e >  
         < / A c c o u n t I n f o >  
         < A c c o u n t I n f o >  
             < I D > 2 6 4 2 0 1 9 4 7 9 8 0 0 0 0 0 3 6 6 < / I D >  
             < N a m e > P r o v i s i o n   A g a i n s t   I m p a i r m e n t   L o s s - E X P < / N a m e >  
             < N u m b e r > 8 1 6 0 . 1 < / N u m b e r >  
             < I s L i n k e d > f a l s e < / I s L i n k e d >  
             < C h a r t I D > 2 6 4 2 0 1 9 4 7 9 8 0 0 0 0 0 2 3 2 < / C h a r t I D >  
             < S e q u e n c e > 0 < / S e q u e n c e >  
         < / A c c o u n t I n f o >  
         < A c c o u n t I n f o >  
             < I D > 2 6 4 2 0 1 9 4 7 9 8 0 0 0 0 0 3 7 0 < / I D >  
             < N a m e > W W F - E X P < / N a m e >  
             < N u m b e r > 8 1 6 0 . 2 < / N u m b e r >  
             < I s L i n k e d > f a l s e < / I s L i n k e d >  
             < C h a r t I D > 2 6 4 2 0 1 9 4 7 9 8 0 0 0 0 0 2 3 2 < / C h a r t I D >  
             < S e q u e n c e > 0 < / S e q u e n c e >  
         < / A c c o u n t I n f o >  
         < A c c o u n t I n f o >  
             < I D > 2 6 4 2 0 1 9 4 7 9 8 0 0 0 0 0 3 9 5 < / I D >  
             < N a m e > S a l e s   T a x   o n   T r u s t e e   F e e s < / N a m e >  
             < N u m b e r > 8 1 7 0 . 1 < / N u m b e r >  
             < I s L i n k e d > f a l s e < / I s L i n k e d >  
             < C h a r t I D > 2 6 4 2 0 1 9 4 7 9 8 0 0 0 0 0 2 3 2 < / C h a r t I D >  
             < S e q u e n c e > 0 < / S e q u e n c e >  
         < / A c c o u n t I n f o >  
         < A c c o u n t I n f o >  
             < I D > 2 6 4 2 0 1 9 4 7 9 8 0 0 0 0 0 4 0 3 < / I D >  
             < N a m e > B a c k   o f f i c e   e x p e n s e < / N a m e >  
             < N u m b e r > 8 1 8 0 . 1 < / N u m b e r >  
             < I s L i n k e d > f a l s e < / I s L i n k e d >  
             < C h a r t I D > 2 6 4 2 0 1 9 4 7 9 8 0 0 0 0 0 2 3 2 < / C h a r t I D >  
             < S e q u e n c e > 0 < / S e q u e n c e >  
         < / A c c o u n t I n f o >  
         < A c c o u n t I n f o >  
             < I D > 2 6 4 2 0 1 9 4 7 9 8 0 0 0 0 0 2 5 5 < / I D >  
             < N a m e > R e a l i z e d   E l e m e n t   & a m p ;   C G < / N a m e >  
             < N u m b e r > 9 1 1 0 . 1 < / N u m b e r >  
             < I s L i n k e d > f a l s e < / I s L i n k e d >  
             < C h a r t I D > 2 6 4 2 0 1 9 4 7 9 8 0 0 0 0 0 2 3 2 < / C h a r t I D >  
             < S e q u e n c e > 0 < / S e q u e n c e >  
         < / A c c o u n t I n f o >  
         < A c c o u n t I n f o >  
             < I D > 2 6 4 2 0 1 9 4 7 9 8 0 0 0 0 0 2 4 6 < / I D >  
             < N a m e > U n r e a l i z e d   E l e m e n t   & a m p ;   C a p i t a l   G a i n < / N a m e >  
             < N u m b e r > 9 1 1 0 . 2 < / N u m b e r >  
             < I s L i n k e d > f a l s e < / I s L i n k e d >  
             < C h a r t I D > 2 6 4 2 0 1 9 4 7 9 8 0 0 0 0 0 2 3 2 < / C h a r t I D >  
             < S e q u e n c e > 0 < / S e q u e n c e >  
         < / A c c o u n t I n f o >  
         < A c c o u n t I n f o >  
             < I D > 2 9 6 1 8 1 5 9 6 0 0 0 0 0 0 0 0 2 3 < / I D >  
             < N a m e > M a r k e t i n g   a n d   s e l l i n g   e x p e n s e s < / N a m e >  
             < N u m b e r > 9 1 1 0 . 3 < / N u m b e r >  
             < I s L i n k e d > f a l s e < / I s L i n k e d >  
             < C h a r t I D > 2 6 4 2 0 1 9 4 7 9 8 0 0 0 0 0 2 3 2 < / C h a r t I D >  
             < S e q u e n c e > 0 < / S e q u e n c e >  
         < / A c c o u n t I n f o >  
         < A c c o u n t I n f o >  
             < I D > 2 9 6 1 8 1 5 9 6 0 0 0 0 0 0 1 8 7 6 < / I D >  
             < N a m e > R e l a t e d   p a r t i e s   d i s c l o s u r e < / N a m e >  
             < N u m b e r > 9 1 1 0 . 4 < / N u m b e r >  
             < I s L i n k e d > f a l s e < / I s L i n k e d >  
             < C h a r t I D > 2 6 4 2 0 1 9 4 7 9 8 0 0 0 0 0 2 3 2 < / C h a r t I D >  
             < S e q u e n c e > 0 < / S e q u e n c e >  
         < / A c c o u n t I n f o >  
         < A c c o u n t I n f o >  
             < I D > 3 2 7 2 8 3 0 1 5 3 7 0 0 0 0 0 0 0 6 < / I D >  
             < N a m e > H a l f   Y e a r   D i f f e r e n c e < / N a m e >  
             < N u m b e r > 9 1 1 0 . 5 < / N u m b e r >  
             < I s L i n k e d > f a l s e < / I s L i n k e d >  
             < C h a r t I D > 2 6 4 2 0 1 9 4 7 9 8 0 0 0 0 0 2 3 2 < / C h a r t I D >  
             < S e q u e n c e > 0 < / S e q u e n c e >  
         < / A c c o u n t I n f o >  
     < / T a r g e t A c c o u n t I n f o L i s t >  
     < D A A c c o u n t T y p e L i s t / >  
     < I s C o n s o l i d a t e d T B > f a l s e < / I s C o n s o l i d a t e d T B >  
 < / L e a d S h e e t P a r a m s > 
</file>

<file path=customXml/itemProps1.xml><?xml version="1.0" encoding="utf-8"?>
<ds:datastoreItem xmlns:ds="http://schemas.openxmlformats.org/officeDocument/2006/customXml" ds:itemID="{63EAB1DB-4843-4B06-BA4E-D400C4BF1FEF}">
  <ds:schemaRefs>
    <ds:schemaRef ds:uri="http://www.w3.org/2001/XMLSchema"/>
  </ds:schemaRefs>
</ds:datastoreItem>
</file>

<file path=customXml/itemProps2.xml><?xml version="1.0" encoding="utf-8"?>
<ds:datastoreItem xmlns:ds="http://schemas.openxmlformats.org/officeDocument/2006/customXml" ds:itemID="{157799D5-5935-441F-9CF0-A7F29B337620}">
  <ds:schemaRefs>
    <ds:schemaRef ds:uri="http://schemas.dtt.com/da/IsLeadSheet"/>
  </ds:schemaRefs>
</ds:datastoreItem>
</file>

<file path=customXml/itemProps3.xml><?xml version="1.0" encoding="utf-8"?>
<ds:datastoreItem xmlns:ds="http://schemas.openxmlformats.org/officeDocument/2006/customXml" ds:itemID="{922A2770-4CA0-43A5-959A-D54E1793D69B}">
  <ds:schemaRefs>
    <ds:schemaRef ds:uri="http://www.w3.org/2001/XMLSchema"/>
  </ds:schemaRefs>
</ds:datastoreItem>
</file>

<file path=customXml/itemProps4.xml><?xml version="1.0" encoding="utf-8"?>
<ds:datastoreItem xmlns:ds="http://schemas.openxmlformats.org/officeDocument/2006/customXml" ds:itemID="{E0F40A29-5E41-4888-877A-CEF3AED743E6}">
  <ds:schemaRefs>
    <ds:schemaRef ds:uri="http://www.w3.org/2001/XMLSchema"/>
  </ds:schemaRefs>
</ds:datastoreItem>
</file>

<file path=customXml/itemProps5.xml><?xml version="1.0" encoding="utf-8"?>
<ds:datastoreItem xmlns:ds="http://schemas.openxmlformats.org/officeDocument/2006/customXml" ds:itemID="{A245ADA2-8FD1-4D45-9056-C73A5962E89F}">
  <ds:schemaRefs>
    <ds:schemaRef ds:uri="http://schemas.microsoft.com/DAEMSEngagementItemInfoXML"/>
  </ds:schemaRefs>
</ds:datastoreItem>
</file>

<file path=customXml/itemProps6.xml><?xml version="1.0" encoding="utf-8"?>
<ds:datastoreItem xmlns:ds="http://schemas.openxmlformats.org/officeDocument/2006/customXml" ds:itemID="{348F7768-0792-4F71-9ED9-23C0BF733BD8}">
  <ds:schemaRefs>
    <ds:schemaRef ds:uri="http://schemas.dtt.com/da/IsFirstTimeLoaded"/>
  </ds:schemaRefs>
</ds:datastoreItem>
</file>

<file path=customXml/itemProps7.xml><?xml version="1.0" encoding="utf-8"?>
<ds:datastoreItem xmlns:ds="http://schemas.openxmlformats.org/officeDocument/2006/customXml" ds:itemID="{4C58551A-96E7-40CC-BDF4-0A8F40FAF571}">
  <ds:schemaRefs>
    <ds:schemaRef ds:uri="http://schemas.dtt.com/da/LeadSheetOpenXML"/>
  </ds:schemaRefs>
</ds:datastoreItem>
</file>

<file path=customXml/itemProps8.xml><?xml version="1.0" encoding="utf-8"?>
<ds:datastoreItem xmlns:ds="http://schemas.openxmlformats.org/officeDocument/2006/customXml" ds:itemID="{19DFA39C-7E94-443B-A640-BA4937B9CF4A}">
  <ds:schemaRefs/>
</ds:datastoreItem>
</file>

<file path=customXml/itemProps9.xml><?xml version="1.0" encoding="utf-8"?>
<ds:datastoreItem xmlns:ds="http://schemas.openxmlformats.org/officeDocument/2006/customXml" ds:itemID="{5B1E52EE-7858-4F32-A47C-5350D81A947F}">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BS</vt:lpstr>
      <vt:lpstr>review</vt:lpstr>
      <vt:lpstr>IS</vt:lpstr>
      <vt:lpstr>OCI</vt:lpstr>
      <vt:lpstr>UHF New</vt:lpstr>
      <vt:lpstr>MCB PFPF</vt:lpstr>
      <vt:lpstr>Cashflow</vt:lpstr>
      <vt:lpstr>Notes 1-6</vt:lpstr>
      <vt:lpstr>Investment</vt:lpstr>
      <vt:lpstr>Notes 7-8</vt:lpstr>
      <vt:lpstr>Notes 9-13</vt:lpstr>
      <vt:lpstr>Notes 13-14</vt:lpstr>
      <vt:lpstr>Notes 15-17 ( END )</vt:lpstr>
      <vt:lpstr>TB</vt:lpstr>
      <vt:lpstr>UHA</vt:lpstr>
      <vt:lpstr>Notes 18</vt:lpstr>
      <vt:lpstr>BS!Print_Area</vt:lpstr>
      <vt:lpstr>Cashflow!Print_Area</vt:lpstr>
      <vt:lpstr>Investment!Print_Area</vt:lpstr>
      <vt:lpstr>IS!Print_Area</vt:lpstr>
      <vt:lpstr>'Notes 13-14'!Print_Area</vt:lpstr>
      <vt:lpstr>'Notes 15-17 ( END )'!Print_Area</vt:lpstr>
      <vt:lpstr>'Notes 1-6'!Print_Area</vt:lpstr>
      <vt:lpstr>'Notes 18'!Print_Area</vt:lpstr>
      <vt:lpstr>'Notes 7-8'!Print_Area</vt:lpstr>
      <vt:lpstr>'Notes 9-13'!Print_Area</vt:lpstr>
      <vt:lpstr>OCI!Print_Area</vt:lpstr>
      <vt:lpstr>'UHF New'!Print_Area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Sakina, Rida (PK - Karachi)</dc:creator>
  <cp:lastModifiedBy>Khurram Sharf</cp:lastModifiedBy>
  <cp:lastPrinted>2022-03-16T18:58:30Z</cp:lastPrinted>
  <dcterms:created xsi:type="dcterms:W3CDTF">2018-01-22T06:52:39Z</dcterms:created>
  <dcterms:modified xsi:type="dcterms:W3CDTF">2022-04-15T10:41:39Z</dcterms:modified>
</cp:coreProperties>
</file>